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gri Réseaux\Documents\ClederARI\bdd\"/>
    </mc:Choice>
  </mc:AlternateContent>
  <xr:revisionPtr revIDLastSave="0" documentId="13_ncr:1_{00BFF0F7-DF30-4441-89D4-E0949DB5700E}" xr6:coauthVersionLast="47" xr6:coauthVersionMax="47" xr10:uidLastSave="{00000000-0000-0000-0000-000000000000}"/>
  <bookViews>
    <workbookView xWindow="-108" yWindow="-108" windowWidth="23256" windowHeight="12456" tabRatio="599" activeTab="1" xr2:uid="{00000000-000D-0000-FFFF-FFFF00000000}"/>
  </bookViews>
  <sheets>
    <sheet name="Dashboard" sheetId="4" r:id="rId1"/>
    <sheet name="Cleder " sheetId="1" r:id="rId2"/>
    <sheet name="Plouescat " sheetId="12" r:id="rId3"/>
    <sheet name="Roscoff " sheetId="23" r:id="rId4"/>
    <sheet name="Roscoff - Financement" sheetId="25" r:id="rId5"/>
    <sheet name="2026 - Projet" sheetId="41" r:id="rId6"/>
    <sheet name="Free - Bouygues" sheetId="40" r:id="rId7"/>
    <sheet name="Feuil18" sheetId="37" r:id="rId8"/>
    <sheet name="Feuil5" sheetId="39" r:id="rId9"/>
    <sheet name="Impots" sheetId="29" r:id="rId10"/>
    <sheet name="Roscoff" sheetId="3" r:id="rId11"/>
    <sheet name="cole" sheetId="5" r:id="rId12"/>
    <sheet name="Mailing 22122018" sheetId="10" r:id="rId13"/>
    <sheet name="Feuil4" sheetId="38" r:id="rId14"/>
    <sheet name="Interconnector" sheetId="36" r:id="rId15"/>
    <sheet name="Feuil17" sheetId="35" r:id="rId16"/>
    <sheet name="Feuil16" sheetId="34" r:id="rId17"/>
    <sheet name="Feuil13" sheetId="30" r:id="rId18"/>
    <sheet name="Feuil15" sheetId="31" r:id="rId19"/>
    <sheet name="Feuil14" sheetId="26" r:id="rId20"/>
    <sheet name="Feuil7" sheetId="20" r:id="rId21"/>
    <sheet name="Feuil8" sheetId="28" r:id="rId22"/>
    <sheet name="Feuil9" sheetId="21" r:id="rId23"/>
    <sheet name="Feuil2" sheetId="2" r:id="rId24"/>
    <sheet name="Voeux 2020 prospects" sheetId="16" r:id="rId25"/>
    <sheet name="Voeux 2020 clients" sheetId="18" r:id="rId26"/>
    <sheet name="Voeux all email" sheetId="19" r:id="rId27"/>
    <sheet name="all" sheetId="6" r:id="rId28"/>
    <sheet name="demandes 2017-8-9" sheetId="9" r:id="rId29"/>
    <sheet name="Feuil12" sheetId="24" r:id="rId30"/>
    <sheet name="Feuil3" sheetId="7" r:id="rId31"/>
    <sheet name="Prospects" sheetId="11" r:id="rId32"/>
    <sheet name="Feuil1" sheetId="13" r:id="rId33"/>
    <sheet name="Feuil6" sheetId="15" r:id="rId34"/>
    <sheet name="Feuil11" sheetId="42" r:id="rId35"/>
    <sheet name="Feuil10" sheetId="22" r:id="rId36"/>
  </sheets>
  <definedNames>
    <definedName name="_xlnm._FilterDatabase" localSheetId="17" hidden="1">Feuil13!$AB$1:$AB$734</definedName>
    <definedName name="_xlnm._FilterDatabase" localSheetId="19" hidden="1">Feuil14!$A$1:$A$530</definedName>
    <definedName name="_xlnm._FilterDatabase" localSheetId="25" hidden="1">'Voeux 2020 clients'!$A$1:$Z$1</definedName>
    <definedName name="_xlnm.Print_Area" localSheetId="1">'Cleder '!$A$198:$U$248</definedName>
    <definedName name="_xlnm.Print_Area" localSheetId="16">Feuil16!$A$1:$B$44</definedName>
    <definedName name="_xlnm.Print_Area" localSheetId="23">Feuil2!$A$1:$N$27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773" i="1" l="1"/>
  <c r="O325" i="12"/>
  <c r="N82" i="23"/>
  <c r="N95" i="23"/>
  <c r="O791" i="1"/>
  <c r="O789" i="1"/>
  <c r="O804" i="1"/>
  <c r="O781" i="1"/>
  <c r="O289" i="12"/>
  <c r="N81" i="23"/>
  <c r="B329" i="12"/>
  <c r="O771" i="1"/>
  <c r="O290" i="12"/>
  <c r="D20" i="41"/>
  <c r="G23" i="41"/>
  <c r="G5" i="41"/>
  <c r="O324" i="12" l="1"/>
  <c r="O282" i="12"/>
  <c r="N80" i="23"/>
  <c r="T91" i="23"/>
  <c r="V23" i="4"/>
  <c r="V22" i="4"/>
  <c r="B836" i="1"/>
  <c r="V2" i="4" s="1"/>
  <c r="V16" i="4" s="1"/>
  <c r="B839" i="1"/>
  <c r="O830" i="1"/>
  <c r="B835" i="1" s="1"/>
  <c r="O281" i="12"/>
  <c r="U281" i="12"/>
  <c r="D23" i="41"/>
  <c r="C23" i="41"/>
  <c r="D21" i="41"/>
  <c r="B5" i="41"/>
  <c r="B23" i="41" s="1"/>
  <c r="O280" i="12"/>
  <c r="N79" i="23"/>
  <c r="O770" i="1"/>
  <c r="B840" i="1" l="1"/>
  <c r="B841" i="1" s="1"/>
  <c r="V7" i="4"/>
  <c r="V18" i="4" s="1"/>
  <c r="C836" i="1"/>
  <c r="V11" i="4" s="1"/>
  <c r="E23" i="41"/>
  <c r="Y281" i="12"/>
  <c r="O769" i="1"/>
  <c r="Z769" i="1"/>
  <c r="O278" i="12"/>
  <c r="N77" i="23"/>
  <c r="O279" i="12"/>
  <c r="O321" i="12"/>
  <c r="B328" i="12" s="1"/>
  <c r="B331" i="12"/>
  <c r="E328" i="12"/>
  <c r="B332" i="12" s="1"/>
  <c r="N78" i="23"/>
  <c r="O807" i="1"/>
  <c r="O768" i="1"/>
  <c r="O764" i="1"/>
  <c r="O811" i="1"/>
  <c r="B129" i="23"/>
  <c r="B127" i="23"/>
  <c r="U4" i="4" s="1"/>
  <c r="E126" i="23"/>
  <c r="B130" i="23" s="1"/>
  <c r="B126" i="23"/>
  <c r="U9" i="4" s="1"/>
  <c r="O276" i="12"/>
  <c r="O277" i="12"/>
  <c r="N76" i="23"/>
  <c r="O766" i="1"/>
  <c r="N75" i="23"/>
  <c r="O275" i="12"/>
  <c r="O759" i="1"/>
  <c r="O760" i="1"/>
  <c r="O758" i="1"/>
  <c r="V17" i="4" l="1"/>
  <c r="V21" i="4"/>
  <c r="U3" i="4"/>
  <c r="U8" i="4"/>
  <c r="B333" i="12"/>
  <c r="B334" i="12" s="1"/>
  <c r="C329" i="12"/>
  <c r="B131" i="23"/>
  <c r="C127" i="23"/>
  <c r="O273" i="12"/>
  <c r="N72" i="23"/>
  <c r="N86" i="23"/>
  <c r="O271" i="12" l="1"/>
  <c r="B299" i="12" l="1"/>
  <c r="N88" i="23"/>
  <c r="O286" i="12" l="1"/>
  <c r="O755" i="1"/>
  <c r="O269" i="12"/>
  <c r="O783" i="1"/>
  <c r="O249" i="12"/>
  <c r="N48" i="23"/>
  <c r="N69" i="23"/>
  <c r="O737" i="1"/>
  <c r="U744" i="1"/>
  <c r="U743" i="1"/>
  <c r="O248" i="12"/>
  <c r="O283" i="12"/>
  <c r="U260" i="12"/>
  <c r="O246" i="12"/>
  <c r="O735" i="1"/>
  <c r="U739" i="1"/>
  <c r="E92" i="23"/>
  <c r="E52" i="23"/>
  <c r="AA242" i="12" l="1"/>
  <c r="Y255" i="12"/>
  <c r="U252" i="12"/>
  <c r="O291" i="12"/>
  <c r="O779" i="1"/>
  <c r="O288" i="12"/>
  <c r="O733" i="1"/>
  <c r="O244" i="12"/>
  <c r="O734" i="1"/>
  <c r="O732" i="1"/>
  <c r="Z743" i="1"/>
  <c r="U13" i="4"/>
  <c r="U12" i="4"/>
  <c r="B815" i="1"/>
  <c r="U2" i="4" s="1"/>
  <c r="U16" i="4" s="1"/>
  <c r="B818" i="1"/>
  <c r="O808" i="1"/>
  <c r="O736" i="1"/>
  <c r="N43" i="23"/>
  <c r="X43" i="23" s="1"/>
  <c r="O778" i="1" l="1"/>
  <c r="O802" i="1"/>
  <c r="B814" i="1" s="1"/>
  <c r="O292" i="12"/>
  <c r="N41" i="23"/>
  <c r="O730" i="1"/>
  <c r="C815" i="1" l="1"/>
  <c r="C835" i="1"/>
  <c r="B298" i="12"/>
  <c r="C328" i="12" s="1"/>
  <c r="B819" i="1"/>
  <c r="B820" i="1" s="1"/>
  <c r="U7" i="4"/>
  <c r="O241" i="12"/>
  <c r="O729" i="1"/>
  <c r="O728" i="1"/>
  <c r="U11" i="4" l="1"/>
  <c r="U18" i="4"/>
  <c r="V25" i="4" s="1"/>
  <c r="N44" i="23"/>
  <c r="O777" i="1"/>
  <c r="U17" i="4" l="1"/>
  <c r="V24" i="4"/>
  <c r="U23" i="4"/>
  <c r="U22" i="4"/>
  <c r="U21" i="4"/>
  <c r="N40" i="23"/>
  <c r="O238" i="12"/>
  <c r="O237" i="12"/>
  <c r="O727" i="1"/>
  <c r="O236" i="12" l="1"/>
  <c r="O726" i="1"/>
  <c r="O235" i="12"/>
  <c r="O724" i="1"/>
  <c r="N38" i="23"/>
  <c r="U758" i="1" l="1"/>
  <c r="O234" i="12" l="1"/>
  <c r="X36" i="23"/>
  <c r="X34" i="23"/>
  <c r="X57" i="23" s="1"/>
  <c r="O722" i="1"/>
  <c r="T8" i="4"/>
  <c r="O720" i="1"/>
  <c r="O721" i="1"/>
  <c r="O719" i="1"/>
  <c r="O232" i="12"/>
  <c r="N33" i="23"/>
  <c r="E310" i="12"/>
  <c r="E309" i="12"/>
  <c r="E307" i="12"/>
  <c r="E301" i="12"/>
  <c r="B301" i="12"/>
  <c r="T3" i="4"/>
  <c r="T12" i="4" l="1"/>
  <c r="E298" i="12"/>
  <c r="B302" i="12" s="1"/>
  <c r="B303" i="12" s="1"/>
  <c r="B304" i="12" s="1"/>
  <c r="C299" i="12"/>
  <c r="O231" i="12" l="1"/>
  <c r="O718" i="1"/>
  <c r="O227" i="12"/>
  <c r="O229" i="12"/>
  <c r="O228" i="12"/>
  <c r="O230" i="12"/>
  <c r="O717" i="1"/>
  <c r="N42" i="23"/>
  <c r="E99" i="23"/>
  <c r="E97" i="23"/>
  <c r="B93" i="23"/>
  <c r="B91" i="23"/>
  <c r="T4" i="4" s="1"/>
  <c r="U243" i="12"/>
  <c r="E263" i="12"/>
  <c r="B786" i="1" l="1"/>
  <c r="B90" i="23"/>
  <c r="E90" i="23"/>
  <c r="B94" i="23" s="1"/>
  <c r="E742" i="1"/>
  <c r="B787" i="1"/>
  <c r="T2" i="4" s="1"/>
  <c r="T16" i="4" s="1"/>
  <c r="E786" i="1"/>
  <c r="B790" i="1" s="1"/>
  <c r="O716" i="1"/>
  <c r="N36" i="23"/>
  <c r="S32" i="4"/>
  <c r="R32" i="4" s="1"/>
  <c r="S31" i="4"/>
  <c r="E59" i="23"/>
  <c r="E57" i="23"/>
  <c r="B21" i="23"/>
  <c r="N34" i="23"/>
  <c r="O694" i="1"/>
  <c r="T9" i="4" l="1"/>
  <c r="C126" i="23"/>
  <c r="B95" i="23"/>
  <c r="C91" i="23"/>
  <c r="T7" i="4"/>
  <c r="C814" i="1"/>
  <c r="T13" i="4" l="1"/>
  <c r="W9" i="4"/>
  <c r="T18" i="4"/>
  <c r="T11" i="4"/>
  <c r="N16" i="23"/>
  <c r="O203" i="12"/>
  <c r="U25" i="4" l="1"/>
  <c r="U24" i="4"/>
  <c r="T23" i="4"/>
  <c r="T22" i="4"/>
  <c r="O40" i="4"/>
  <c r="T21" i="4"/>
  <c r="T17" i="4"/>
  <c r="O239" i="12"/>
  <c r="B253" i="12"/>
  <c r="O233" i="12"/>
  <c r="B50" i="23"/>
  <c r="C90" i="23" s="1"/>
  <c r="B54" i="23"/>
  <c r="B53" i="23"/>
  <c r="B51" i="23"/>
  <c r="S4" i="4" s="1"/>
  <c r="O689" i="1"/>
  <c r="S9" i="4" l="1"/>
  <c r="S13" i="4" s="1"/>
  <c r="B55" i="23"/>
  <c r="C51" i="23"/>
  <c r="O201" i="12"/>
  <c r="O242" i="12"/>
  <c r="E25" i="23"/>
  <c r="O16" i="23"/>
  <c r="O688" i="1"/>
  <c r="N15" i="23"/>
  <c r="B252" i="12" l="1"/>
  <c r="C298" i="12" s="1"/>
  <c r="O196" i="12"/>
  <c r="O687" i="1"/>
  <c r="O684" i="1"/>
  <c r="N14" i="23"/>
  <c r="O199" i="12"/>
  <c r="O198" i="12"/>
  <c r="O197" i="12"/>
  <c r="O200" i="12"/>
  <c r="O686" i="1"/>
  <c r="O677" i="1" l="1"/>
  <c r="N12" i="23"/>
  <c r="U205" i="12"/>
  <c r="B791" i="1" l="1"/>
  <c r="B792" i="1" s="1"/>
  <c r="C787" i="1"/>
  <c r="O685" i="1"/>
  <c r="O683" i="1"/>
  <c r="N10" i="23"/>
  <c r="O195" i="12"/>
  <c r="O194" i="12" l="1"/>
  <c r="O680" i="1" l="1"/>
  <c r="O193" i="12"/>
  <c r="O682" i="1" l="1"/>
  <c r="N8" i="23"/>
  <c r="O681" i="1"/>
  <c r="N9" i="23"/>
  <c r="O191" i="12" l="1"/>
  <c r="T176" i="12"/>
  <c r="T175" i="12"/>
  <c r="O678" i="1"/>
  <c r="N7" i="23"/>
  <c r="N5" i="23" l="1"/>
  <c r="N6" i="23"/>
  <c r="E255" i="12" l="1"/>
  <c r="E217" i="12"/>
  <c r="E216" i="12"/>
  <c r="E210" i="12"/>
  <c r="U255" i="12"/>
  <c r="B255" i="12"/>
  <c r="S3" i="4"/>
  <c r="S8" i="4"/>
  <c r="O676" i="1"/>
  <c r="S12" i="4" l="1"/>
  <c r="E252" i="12"/>
  <c r="B256" i="12" s="1"/>
  <c r="B257" i="12" s="1"/>
  <c r="B258" i="12" s="1"/>
  <c r="E207" i="12"/>
  <c r="B211" i="12" s="1"/>
  <c r="C253" i="12"/>
  <c r="O187" i="12"/>
  <c r="O186" i="12"/>
  <c r="B742" i="1"/>
  <c r="B743" i="1"/>
  <c r="S2" i="4" s="1"/>
  <c r="S16" i="4" s="1"/>
  <c r="B746" i="1"/>
  <c r="S7" i="4" l="1"/>
  <c r="C786" i="1"/>
  <c r="B747" i="1"/>
  <c r="B748" i="1" s="1"/>
  <c r="C743" i="1"/>
  <c r="O183" i="12"/>
  <c r="O674" i="1"/>
  <c r="B133" i="16"/>
  <c r="U139" i="16"/>
  <c r="B139" i="16"/>
  <c r="B151" i="16"/>
  <c r="O76" i="16"/>
  <c r="O51" i="16"/>
  <c r="O42" i="16"/>
  <c r="O53" i="16"/>
  <c r="O60" i="16"/>
  <c r="O37" i="16"/>
  <c r="O31" i="16"/>
  <c r="O68" i="16"/>
  <c r="O56" i="16"/>
  <c r="O63" i="16"/>
  <c r="O15" i="16"/>
  <c r="O103" i="16"/>
  <c r="B123" i="16" s="1"/>
  <c r="U193" i="16"/>
  <c r="E193" i="16"/>
  <c r="E192" i="16"/>
  <c r="U144" i="16"/>
  <c r="U132" i="16"/>
  <c r="B132" i="16"/>
  <c r="E138" i="16"/>
  <c r="B138" i="16"/>
  <c r="B150" i="16"/>
  <c r="E126" i="16"/>
  <c r="O89" i="16"/>
  <c r="O58" i="16"/>
  <c r="O104" i="16"/>
  <c r="O41" i="16"/>
  <c r="O113" i="16"/>
  <c r="O48" i="16"/>
  <c r="U108" i="16"/>
  <c r="O108" i="16"/>
  <c r="U49" i="16"/>
  <c r="O49" i="16"/>
  <c r="U28" i="16"/>
  <c r="O28" i="16"/>
  <c r="O190" i="16" s="1"/>
  <c r="U59" i="16"/>
  <c r="O59" i="16"/>
  <c r="O34" i="16"/>
  <c r="O70" i="16"/>
  <c r="O107" i="16"/>
  <c r="O12" i="16"/>
  <c r="O83" i="16"/>
  <c r="O79" i="16"/>
  <c r="B131" i="16"/>
  <c r="B137" i="16"/>
  <c r="Q184" i="16"/>
  <c r="B149" i="16"/>
  <c r="O43" i="16"/>
  <c r="O8" i="16"/>
  <c r="O40" i="16"/>
  <c r="O64" i="16"/>
  <c r="O82" i="16"/>
  <c r="O47" i="16"/>
  <c r="O112" i="16"/>
  <c r="O25" i="16"/>
  <c r="O98" i="16"/>
  <c r="O88" i="16"/>
  <c r="O184" i="16" s="1"/>
  <c r="O52" i="16"/>
  <c r="O54" i="16"/>
  <c r="O33" i="16"/>
  <c r="O85" i="16"/>
  <c r="O11" i="16"/>
  <c r="O69" i="16"/>
  <c r="O45" i="16"/>
  <c r="O73" i="16"/>
  <c r="U73" i="16" s="1"/>
  <c r="O14" i="16"/>
  <c r="O78" i="16"/>
  <c r="O97" i="16"/>
  <c r="B130" i="16"/>
  <c r="I136" i="16"/>
  <c r="B136" i="16"/>
  <c r="M178" i="16"/>
  <c r="H178" i="16"/>
  <c r="B148" i="16"/>
  <c r="T124" i="16"/>
  <c r="G124" i="16"/>
  <c r="O101" i="16"/>
  <c r="U94" i="16"/>
  <c r="O94" i="16"/>
  <c r="O106" i="16"/>
  <c r="O81" i="16"/>
  <c r="O57" i="16"/>
  <c r="O38" i="16"/>
  <c r="O99" i="16"/>
  <c r="B124" i="16" s="1"/>
  <c r="B129" i="16"/>
  <c r="B135" i="16"/>
  <c r="B147" i="16"/>
  <c r="O26" i="16"/>
  <c r="O93" i="16"/>
  <c r="O20" i="16"/>
  <c r="O50" i="16"/>
  <c r="T123" i="16" s="1"/>
  <c r="O3" i="16"/>
  <c r="B128" i="16"/>
  <c r="B134" i="16"/>
  <c r="B146" i="16"/>
  <c r="O46" i="16"/>
  <c r="U46" i="16" s="1"/>
  <c r="O32" i="16"/>
  <c r="O19" i="16"/>
  <c r="O74" i="16"/>
  <c r="B122" i="16" s="1"/>
  <c r="O726" i="35"/>
  <c r="R724" i="35"/>
  <c r="O724" i="35"/>
  <c r="B468" i="35"/>
  <c r="E388" i="35"/>
  <c r="B397" i="35" s="1"/>
  <c r="O155" i="35"/>
  <c r="O138" i="35"/>
  <c r="O110" i="35"/>
  <c r="O203" i="35"/>
  <c r="U203" i="35" s="1"/>
  <c r="O229" i="35"/>
  <c r="O112" i="35"/>
  <c r="O11" i="35"/>
  <c r="O186" i="35"/>
  <c r="O204" i="35"/>
  <c r="U172" i="35"/>
  <c r="O172" i="35"/>
  <c r="O93" i="35"/>
  <c r="O69" i="35"/>
  <c r="O239" i="35"/>
  <c r="B388" i="35" s="1"/>
  <c r="E697" i="35"/>
  <c r="E695" i="35"/>
  <c r="K694" i="35"/>
  <c r="L450" i="35"/>
  <c r="K450" i="35"/>
  <c r="K432" i="35"/>
  <c r="K396" i="35"/>
  <c r="K416" i="35"/>
  <c r="K693" i="35"/>
  <c r="B467" i="35"/>
  <c r="U109" i="35"/>
  <c r="O109" i="35"/>
  <c r="O284" i="35"/>
  <c r="O313" i="35"/>
  <c r="O103" i="35"/>
  <c r="O38" i="35"/>
  <c r="O139" i="35"/>
  <c r="O208" i="35"/>
  <c r="O39" i="35"/>
  <c r="O79" i="35"/>
  <c r="U28" i="35"/>
  <c r="O28" i="35"/>
  <c r="O400" i="35"/>
  <c r="O18" i="35"/>
  <c r="U210" i="35"/>
  <c r="O210" i="35"/>
  <c r="O232" i="35"/>
  <c r="O58" i="35"/>
  <c r="O97" i="35"/>
  <c r="O206" i="35"/>
  <c r="B387" i="35" s="1"/>
  <c r="V688" i="35"/>
  <c r="U688" i="35"/>
  <c r="Q688" i="35"/>
  <c r="B395" i="35"/>
  <c r="B466" i="35"/>
  <c r="O146" i="35"/>
  <c r="O15" i="35"/>
  <c r="O224" i="35"/>
  <c r="O108" i="35"/>
  <c r="O221" i="35"/>
  <c r="O270" i="35"/>
  <c r="O61" i="35"/>
  <c r="O158" i="35"/>
  <c r="O131" i="35"/>
  <c r="O51" i="35"/>
  <c r="O71" i="35"/>
  <c r="O19" i="35"/>
  <c r="O57" i="35"/>
  <c r="O85" i="35"/>
  <c r="U137" i="35"/>
  <c r="O137" i="35"/>
  <c r="B386" i="35" s="1"/>
  <c r="O63" i="35"/>
  <c r="O161" i="35"/>
  <c r="O198" i="35"/>
  <c r="B394" i="35"/>
  <c r="B465" i="35"/>
  <c r="U340" i="35"/>
  <c r="O340" i="35"/>
  <c r="U145" i="35"/>
  <c r="O219" i="35"/>
  <c r="O154" i="35"/>
  <c r="O223" i="35"/>
  <c r="O77" i="35"/>
  <c r="O220" i="35"/>
  <c r="O16" i="35"/>
  <c r="O133" i="35"/>
  <c r="O6" i="35"/>
  <c r="O167" i="35"/>
  <c r="O120" i="35"/>
  <c r="O213" i="35"/>
  <c r="U12" i="35"/>
  <c r="O315" i="35"/>
  <c r="O316" i="35"/>
  <c r="O274" i="35"/>
  <c r="B385" i="35" s="1"/>
  <c r="B393" i="35"/>
  <c r="B464" i="35"/>
  <c r="O305" i="35"/>
  <c r="O106" i="35"/>
  <c r="O201" i="35"/>
  <c r="O130" i="35"/>
  <c r="O37" i="35"/>
  <c r="O165" i="35"/>
  <c r="O184" i="35"/>
  <c r="O10" i="35"/>
  <c r="U136" i="35"/>
  <c r="O123" i="35"/>
  <c r="B384" i="35" s="1"/>
  <c r="B392" i="35"/>
  <c r="B463" i="35"/>
  <c r="O144" i="35"/>
  <c r="O176" i="35"/>
  <c r="O74" i="35"/>
  <c r="O104" i="35"/>
  <c r="O29" i="35"/>
  <c r="O149" i="35"/>
  <c r="O81" i="35"/>
  <c r="O143" i="35"/>
  <c r="O230" i="35"/>
  <c r="O34" i="35"/>
  <c r="B383" i="35" s="1"/>
  <c r="B391" i="35"/>
  <c r="B411" i="35"/>
  <c r="B462" i="35"/>
  <c r="O142" i="35"/>
  <c r="O75" i="35"/>
  <c r="O73" i="35"/>
  <c r="O67" i="35"/>
  <c r="O27" i="35"/>
  <c r="O171" i="35"/>
  <c r="O199" i="35"/>
  <c r="O411" i="35" s="1"/>
  <c r="O23" i="35"/>
  <c r="O41" i="35"/>
  <c r="B382" i="35" s="1"/>
  <c r="O195" i="35"/>
  <c r="O100" i="35"/>
  <c r="O118" i="35"/>
  <c r="B390" i="35"/>
  <c r="B410" i="35"/>
  <c r="O634" i="35"/>
  <c r="L461" i="35"/>
  <c r="B461" i="35"/>
  <c r="O141" i="35"/>
  <c r="O21" i="35"/>
  <c r="Q228" i="35"/>
  <c r="O113" i="35"/>
  <c r="U42" i="35"/>
  <c r="O42" i="35"/>
  <c r="O8" i="35"/>
  <c r="O351" i="35"/>
  <c r="U212" i="35"/>
  <c r="O150" i="35"/>
  <c r="O92" i="35"/>
  <c r="O469" i="35"/>
  <c r="O332" i="35"/>
  <c r="O256" i="35"/>
  <c r="B381" i="35" s="1"/>
  <c r="U364" i="35"/>
  <c r="S425" i="35"/>
  <c r="B389" i="35"/>
  <c r="B409" i="35"/>
  <c r="V623" i="35"/>
  <c r="T623" i="35"/>
  <c r="U623" i="35" s="1"/>
  <c r="V460" i="35"/>
  <c r="B460" i="35"/>
  <c r="S615" i="35"/>
  <c r="L615" i="35"/>
  <c r="U257" i="35"/>
  <c r="U291" i="35"/>
  <c r="O44" i="35"/>
  <c r="O83" i="35"/>
  <c r="O22" i="35"/>
  <c r="O347" i="35"/>
  <c r="O188" i="35"/>
  <c r="U209" i="35"/>
  <c r="O209" i="35"/>
  <c r="O132" i="35"/>
  <c r="U132" i="35" s="1"/>
  <c r="O153" i="35"/>
  <c r="O40" i="35"/>
  <c r="O33" i="35"/>
  <c r="O246" i="35"/>
  <c r="O331" i="35"/>
  <c r="O216" i="35"/>
  <c r="O309" i="35"/>
  <c r="B408" i="35"/>
  <c r="B459" i="35"/>
  <c r="S577" i="35"/>
  <c r="L577" i="35"/>
  <c r="U60" i="35"/>
  <c r="O60" i="35"/>
  <c r="O330" i="35"/>
  <c r="U353" i="35"/>
  <c r="O32" i="35"/>
  <c r="U70" i="35"/>
  <c r="O70" i="35"/>
  <c r="U205" i="35"/>
  <c r="O205" i="35"/>
  <c r="U99" i="35"/>
  <c r="O99" i="35"/>
  <c r="O345" i="35"/>
  <c r="O248" i="35"/>
  <c r="O140" i="35"/>
  <c r="O96" i="35"/>
  <c r="B379" i="35" s="1"/>
  <c r="O307" i="35"/>
  <c r="O226" i="35"/>
  <c r="B407" i="35"/>
  <c r="B458" i="35"/>
  <c r="S541" i="35"/>
  <c r="L541" i="35"/>
  <c r="O225" i="35"/>
  <c r="O98" i="35"/>
  <c r="O211" i="35"/>
  <c r="O346" i="35"/>
  <c r="O122" i="35"/>
  <c r="U341" i="35"/>
  <c r="O329" i="35"/>
  <c r="U329" i="35" s="1"/>
  <c r="U114" i="35"/>
  <c r="O114" i="35"/>
  <c r="U45" i="35"/>
  <c r="O45" i="35"/>
  <c r="O91" i="35"/>
  <c r="U194" i="35"/>
  <c r="O194" i="35"/>
  <c r="Y62" i="35"/>
  <c r="U62" i="35"/>
  <c r="O62" i="35"/>
  <c r="U263" i="35"/>
  <c r="U111" i="35"/>
  <c r="O111" i="35"/>
  <c r="B378" i="35" s="1"/>
  <c r="B406" i="35"/>
  <c r="B457" i="35"/>
  <c r="O214" i="35"/>
  <c r="S510" i="35"/>
  <c r="L510" i="35"/>
  <c r="O244" i="35"/>
  <c r="O337" i="35"/>
  <c r="U66" i="35"/>
  <c r="O66" i="35"/>
  <c r="U164" i="35"/>
  <c r="O164" i="35"/>
  <c r="U317" i="35"/>
  <c r="U4" i="35"/>
  <c r="O4" i="35"/>
  <c r="X162" i="35"/>
  <c r="O328" i="35"/>
  <c r="U328" i="35" s="1"/>
  <c r="O147" i="35"/>
  <c r="O306" i="35"/>
  <c r="O30" i="35"/>
  <c r="O342" i="35"/>
  <c r="B377" i="35" s="1"/>
  <c r="E418" i="35"/>
  <c r="O499" i="35"/>
  <c r="B405" i="35"/>
  <c r="U456" i="35"/>
  <c r="B456" i="35"/>
  <c r="O312" i="35"/>
  <c r="O68" i="35"/>
  <c r="O52" i="35"/>
  <c r="U498" i="35" s="1"/>
  <c r="O218" i="35"/>
  <c r="S498" i="35" s="1"/>
  <c r="O260" i="35"/>
  <c r="O190" i="35"/>
  <c r="U190" i="35" s="1"/>
  <c r="U350" i="35"/>
  <c r="O350" i="35"/>
  <c r="U43" i="35"/>
  <c r="O43" i="35"/>
  <c r="O102" i="35"/>
  <c r="O343" i="35"/>
  <c r="O215" i="35"/>
  <c r="U215" i="35" s="1"/>
  <c r="O273" i="35"/>
  <c r="O86" i="35"/>
  <c r="B376" i="35" s="1"/>
  <c r="U290" i="35"/>
  <c r="V264" i="35"/>
  <c r="O492" i="35"/>
  <c r="K492" i="35"/>
  <c r="B404" i="35"/>
  <c r="B455" i="35"/>
  <c r="O174" i="35"/>
  <c r="O269" i="35"/>
  <c r="O258" i="35"/>
  <c r="O283" i="35"/>
  <c r="U84" i="35"/>
  <c r="O84" i="35"/>
  <c r="O157" i="35"/>
  <c r="O326" i="35"/>
  <c r="O325" i="35"/>
  <c r="U301" i="35"/>
  <c r="O301" i="35"/>
  <c r="T439" i="35" s="1"/>
  <c r="U335" i="35"/>
  <c r="O166" i="35"/>
  <c r="O303" i="35"/>
  <c r="O255" i="35"/>
  <c r="O238" i="35"/>
  <c r="B375" i="35" s="1"/>
  <c r="O117" i="35"/>
  <c r="E421" i="35"/>
  <c r="E485" i="35"/>
  <c r="B403" i="35"/>
  <c r="E484" i="35"/>
  <c r="E454" i="35"/>
  <c r="B454" i="35"/>
  <c r="U76" i="35"/>
  <c r="O76" i="35"/>
  <c r="O3" i="35"/>
  <c r="U36" i="35"/>
  <c r="U298" i="35"/>
  <c r="O298" i="35"/>
  <c r="O250" i="35"/>
  <c r="U87" i="35"/>
  <c r="O308" i="35"/>
  <c r="B374" i="35" s="1"/>
  <c r="O163" i="35"/>
  <c r="O302" i="35"/>
  <c r="U302" i="35" s="1"/>
  <c r="O170" i="35"/>
  <c r="O311" i="35"/>
  <c r="U72" i="35"/>
  <c r="O72" i="35"/>
  <c r="E437" i="35"/>
  <c r="B402" i="35"/>
  <c r="B453" i="35"/>
  <c r="U20" i="35"/>
  <c r="O300" i="35"/>
  <c r="B373" i="35" s="1"/>
  <c r="O272" i="35"/>
  <c r="O336" i="35"/>
  <c r="B401" i="35"/>
  <c r="B452" i="35"/>
  <c r="B372" i="35"/>
  <c r="U295" i="35"/>
  <c r="S11" i="4" l="1"/>
  <c r="S18" i="4"/>
  <c r="B125" i="16"/>
  <c r="B126" i="16"/>
  <c r="B127" i="16"/>
  <c r="C124" i="16"/>
  <c r="C148" i="16"/>
  <c r="B140" i="16"/>
  <c r="C149" i="16"/>
  <c r="C125" i="16"/>
  <c r="C126" i="16"/>
  <c r="C150" i="16"/>
  <c r="C151" i="16"/>
  <c r="C127" i="16"/>
  <c r="C123" i="16"/>
  <c r="C147" i="16"/>
  <c r="B141" i="16"/>
  <c r="E387" i="35"/>
  <c r="B396" i="35" s="1"/>
  <c r="B380" i="35"/>
  <c r="C380" i="35" s="1"/>
  <c r="E438" i="35"/>
  <c r="E439" i="35" s="1"/>
  <c r="C379" i="35"/>
  <c r="C459" i="35"/>
  <c r="C463" i="35"/>
  <c r="C383" i="35"/>
  <c r="C465" i="35"/>
  <c r="C385" i="35"/>
  <c r="C461" i="35"/>
  <c r="C381" i="35"/>
  <c r="B418" i="35"/>
  <c r="C456" i="35"/>
  <c r="C376" i="35"/>
  <c r="U405" i="35"/>
  <c r="C457" i="35"/>
  <c r="C377" i="35"/>
  <c r="B420" i="35"/>
  <c r="C453" i="35"/>
  <c r="C454" i="35"/>
  <c r="C455" i="35"/>
  <c r="C375" i="35"/>
  <c r="B422" i="35"/>
  <c r="C458" i="35"/>
  <c r="C378" i="35"/>
  <c r="C388" i="35"/>
  <c r="C468" i="35"/>
  <c r="C386" i="35"/>
  <c r="C466" i="35"/>
  <c r="C460" i="35"/>
  <c r="Q630" i="35"/>
  <c r="C382" i="35"/>
  <c r="C462" i="35"/>
  <c r="C464" i="35"/>
  <c r="C384" i="35"/>
  <c r="C387" i="35"/>
  <c r="C467" i="35"/>
  <c r="U86" i="35"/>
  <c r="B419" i="35"/>
  <c r="B421" i="35" s="1"/>
  <c r="O688" i="35"/>
  <c r="O693" i="35" s="1"/>
  <c r="U351" i="35"/>
  <c r="V633" i="35" s="1"/>
  <c r="O671" i="1"/>
  <c r="B99" i="25"/>
  <c r="B102" i="25" s="1"/>
  <c r="B113" i="25"/>
  <c r="B112" i="25"/>
  <c r="C103" i="25"/>
  <c r="O670" i="1"/>
  <c r="O669" i="1"/>
  <c r="O180" i="12"/>
  <c r="U210" i="12"/>
  <c r="S17" i="4" l="1"/>
  <c r="T25" i="4"/>
  <c r="S21" i="4"/>
  <c r="S23" i="4"/>
  <c r="S22" i="4"/>
  <c r="O39" i="4"/>
  <c r="P40" i="4" s="1"/>
  <c r="T24" i="4"/>
  <c r="S27" i="4"/>
  <c r="S34" i="4" s="1"/>
  <c r="B142" i="16"/>
  <c r="B143" i="16" s="1"/>
  <c r="B423" i="35"/>
  <c r="B424" i="35"/>
  <c r="E440" i="35"/>
  <c r="E441" i="35" s="1"/>
  <c r="E442" i="35" s="1"/>
  <c r="B105" i="25"/>
  <c r="U683" i="1"/>
  <c r="J34" i="37"/>
  <c r="J32" i="37"/>
  <c r="J33" i="37" s="1"/>
  <c r="J28" i="37"/>
  <c r="B144" i="16" l="1"/>
  <c r="B145" i="16" s="1"/>
  <c r="C146" i="16" s="1"/>
  <c r="B425" i="35"/>
  <c r="B426" i="35" s="1"/>
  <c r="B427" i="35" l="1"/>
  <c r="I28" i="37"/>
  <c r="H28" i="37"/>
  <c r="B428" i="35" l="1"/>
  <c r="I33" i="37"/>
  <c r="I32" i="37"/>
  <c r="I34" i="37"/>
  <c r="H35" i="37"/>
  <c r="H32" i="37"/>
  <c r="G32" i="37"/>
  <c r="G35" i="37" s="1"/>
  <c r="B429" i="35" l="1"/>
  <c r="B18" i="23"/>
  <c r="B22" i="23"/>
  <c r="B19" i="23"/>
  <c r="R4" i="4" s="1"/>
  <c r="O650" i="1"/>
  <c r="R31" i="4"/>
  <c r="P31" i="4"/>
  <c r="O31" i="4"/>
  <c r="N31" i="4"/>
  <c r="M31" i="4"/>
  <c r="Q31" i="4"/>
  <c r="E168" i="12"/>
  <c r="E663" i="1"/>
  <c r="E661" i="1"/>
  <c r="E161" i="12"/>
  <c r="E167" i="12"/>
  <c r="R9" i="4" l="1"/>
  <c r="C50" i="23"/>
  <c r="B430" i="35"/>
  <c r="E653" i="1"/>
  <c r="B657" i="1" s="1"/>
  <c r="C19" i="23"/>
  <c r="B23" i="23"/>
  <c r="E158" i="12"/>
  <c r="R13" i="4" l="1"/>
  <c r="B448" i="35"/>
  <c r="B436" i="35"/>
  <c r="B442" i="35" s="1"/>
  <c r="B443" i="35" s="1"/>
  <c r="B444" i="35" s="1"/>
  <c r="B445" i="35" s="1"/>
  <c r="B446" i="35" s="1"/>
  <c r="B447" i="35" s="1"/>
  <c r="B432" i="35"/>
  <c r="B431" i="35"/>
  <c r="Q27" i="4"/>
  <c r="E701" i="1"/>
  <c r="B705" i="1" s="1"/>
  <c r="B162" i="12"/>
  <c r="Q28" i="4"/>
  <c r="B449" i="35" l="1"/>
  <c r="B437" i="35"/>
  <c r="B433" i="35"/>
  <c r="B450" i="35"/>
  <c r="B438" i="35"/>
  <c r="B434" i="35"/>
  <c r="B440" i="35" s="1"/>
  <c r="C35" i="37"/>
  <c r="C34" i="37"/>
  <c r="C26" i="37"/>
  <c r="C29" i="37" s="1"/>
  <c r="C30" i="37" s="1"/>
  <c r="E35" i="37"/>
  <c r="B35" i="37"/>
  <c r="B34" i="37"/>
  <c r="E15" i="37"/>
  <c r="E18" i="37"/>
  <c r="E28" i="37"/>
  <c r="E29" i="37"/>
  <c r="E30" i="37" s="1"/>
  <c r="B26" i="37"/>
  <c r="B29" i="37" s="1"/>
  <c r="B30" i="37" s="1"/>
  <c r="E39" i="37"/>
  <c r="E38" i="37"/>
  <c r="F51" i="25"/>
  <c r="B88" i="25"/>
  <c r="B87" i="25"/>
  <c r="C78" i="25"/>
  <c r="B77" i="25"/>
  <c r="B38" i="25"/>
  <c r="O26" i="36"/>
  <c r="O24" i="36"/>
  <c r="O22" i="36"/>
  <c r="O15" i="36"/>
  <c r="O45" i="36"/>
  <c r="O44" i="36"/>
  <c r="O39" i="36"/>
  <c r="O31" i="36"/>
  <c r="O28" i="36"/>
  <c r="O21" i="36"/>
  <c r="O13" i="36"/>
  <c r="O11" i="36"/>
  <c r="O43" i="36"/>
  <c r="O42" i="36"/>
  <c r="O41" i="36"/>
  <c r="O40" i="36"/>
  <c r="O38" i="36"/>
  <c r="O37" i="36"/>
  <c r="O36" i="36"/>
  <c r="O35" i="36"/>
  <c r="O29" i="36"/>
  <c r="O10" i="36"/>
  <c r="O14" i="36"/>
  <c r="O7" i="36"/>
  <c r="O8" i="36"/>
  <c r="O9" i="36"/>
  <c r="O4" i="36"/>
  <c r="O5" i="36"/>
  <c r="O6" i="36"/>
  <c r="B451" i="35" l="1"/>
  <c r="C452" i="35" s="1"/>
  <c r="B439" i="35"/>
  <c r="B435" i="35"/>
  <c r="B441" i="35" s="1"/>
  <c r="E34" i="37"/>
  <c r="E33" i="37" s="1"/>
  <c r="B80" i="25"/>
  <c r="O52" i="36"/>
  <c r="O51" i="36"/>
  <c r="O49" i="36"/>
  <c r="O53" i="36" l="1"/>
  <c r="B55" i="25" l="1"/>
  <c r="B56" i="25"/>
  <c r="O649" i="1" l="1"/>
  <c r="B43" i="34" l="1"/>
  <c r="B45" i="25"/>
  <c r="C46" i="25"/>
  <c r="O648" i="1"/>
  <c r="O153" i="12"/>
  <c r="O647" i="1"/>
  <c r="O655" i="1" s="1"/>
  <c r="O132" i="16" s="1"/>
  <c r="O152" i="12"/>
  <c r="O646" i="1"/>
  <c r="O150" i="12"/>
  <c r="O204" i="12"/>
  <c r="K656" i="1"/>
  <c r="K655" i="1"/>
  <c r="K660" i="1"/>
  <c r="K659" i="1"/>
  <c r="K658" i="1"/>
  <c r="K657" i="1"/>
  <c r="O151" i="12"/>
  <c r="U163" i="12"/>
  <c r="U162" i="12"/>
  <c r="O645" i="1"/>
  <c r="L659" i="1"/>
  <c r="O181" i="12"/>
  <c r="O642" i="1"/>
  <c r="B702" i="1"/>
  <c r="R2" i="4" s="1"/>
  <c r="B208" i="12"/>
  <c r="R3" i="4" s="1"/>
  <c r="O145" i="12"/>
  <c r="O154" i="12"/>
  <c r="O641" i="1"/>
  <c r="O144" i="12"/>
  <c r="U640" i="1"/>
  <c r="U144" i="12"/>
  <c r="O640" i="1"/>
  <c r="O636" i="1"/>
  <c r="O635" i="1"/>
  <c r="U143" i="12"/>
  <c r="O143" i="12"/>
  <c r="U142" i="12"/>
  <c r="O142" i="12"/>
  <c r="O634" i="1"/>
  <c r="O633" i="1"/>
  <c r="U674" i="1"/>
  <c r="O140" i="12"/>
  <c r="Q625" i="1"/>
  <c r="U625" i="1"/>
  <c r="V625" i="1"/>
  <c r="O137" i="12"/>
  <c r="O629" i="1"/>
  <c r="O625" i="1" s="1"/>
  <c r="O136" i="12"/>
  <c r="O135" i="12"/>
  <c r="B210" i="12"/>
  <c r="U145" i="12"/>
  <c r="O147" i="12"/>
  <c r="O631" i="1"/>
  <c r="U158" i="31"/>
  <c r="B153" i="31"/>
  <c r="B152" i="31"/>
  <c r="B150" i="31"/>
  <c r="O4" i="31"/>
  <c r="O84" i="31"/>
  <c r="O65" i="31"/>
  <c r="U30" i="31"/>
  <c r="O30" i="31"/>
  <c r="U12" i="31"/>
  <c r="O12" i="31"/>
  <c r="O28" i="31"/>
  <c r="O6" i="31"/>
  <c r="O67" i="31"/>
  <c r="O19" i="31"/>
  <c r="B149" i="31"/>
  <c r="B140" i="31"/>
  <c r="B139" i="31"/>
  <c r="B137" i="31"/>
  <c r="O31" i="31"/>
  <c r="O47" i="31"/>
  <c r="O38" i="31"/>
  <c r="O13" i="31"/>
  <c r="O55" i="31"/>
  <c r="Q138" i="31"/>
  <c r="O50" i="31"/>
  <c r="O83" i="31"/>
  <c r="O23" i="31"/>
  <c r="O74" i="31"/>
  <c r="O11" i="31"/>
  <c r="O138" i="31"/>
  <c r="O25" i="31"/>
  <c r="O34" i="31"/>
  <c r="O32" i="31"/>
  <c r="O44" i="31"/>
  <c r="O40" i="31"/>
  <c r="O5" i="31"/>
  <c r="O39" i="31"/>
  <c r="B136" i="31"/>
  <c r="O33" i="31"/>
  <c r="U33" i="31"/>
  <c r="O58" i="31"/>
  <c r="O18" i="31"/>
  <c r="O76" i="31"/>
  <c r="B128" i="31"/>
  <c r="I127" i="31"/>
  <c r="B127" i="31"/>
  <c r="M126" i="31"/>
  <c r="H126" i="31"/>
  <c r="B125" i="31"/>
  <c r="T124" i="31"/>
  <c r="G124" i="31"/>
  <c r="O79" i="31"/>
  <c r="O73" i="31"/>
  <c r="U73" i="31"/>
  <c r="O66" i="31"/>
  <c r="O59" i="31"/>
  <c r="O35" i="31"/>
  <c r="O51" i="31"/>
  <c r="O71" i="31"/>
  <c r="B124" i="31"/>
  <c r="B110" i="31"/>
  <c r="B109" i="31"/>
  <c r="B107" i="31"/>
  <c r="T106" i="31"/>
  <c r="O53" i="31"/>
  <c r="O72" i="31"/>
  <c r="O52" i="31"/>
  <c r="O20" i="31"/>
  <c r="O60" i="31"/>
  <c r="B106" i="31"/>
  <c r="B93" i="31"/>
  <c r="B92" i="31"/>
  <c r="B90" i="31"/>
  <c r="O29" i="31"/>
  <c r="U29" i="31"/>
  <c r="O63" i="31"/>
  <c r="O21" i="31"/>
  <c r="B89" i="31"/>
  <c r="O64" i="31"/>
  <c r="O699" i="30"/>
  <c r="R693" i="30"/>
  <c r="R697" i="30"/>
  <c r="O336" i="30"/>
  <c r="O345" i="30"/>
  <c r="O29" i="30"/>
  <c r="O56" i="30"/>
  <c r="B678" i="30"/>
  <c r="B675" i="30"/>
  <c r="U83" i="30"/>
  <c r="O12" i="30"/>
  <c r="O102" i="30"/>
  <c r="O182" i="30"/>
  <c r="O87" i="30"/>
  <c r="O71" i="30"/>
  <c r="O36" i="30"/>
  <c r="O181" i="30"/>
  <c r="U49" i="30"/>
  <c r="O49" i="30"/>
  <c r="O215" i="30"/>
  <c r="O62" i="30"/>
  <c r="B674" i="30"/>
  <c r="B661" i="30"/>
  <c r="B658" i="30"/>
  <c r="O177" i="30"/>
  <c r="O69" i="30"/>
  <c r="O180" i="30"/>
  <c r="O82" i="30"/>
  <c r="O4" i="30"/>
  <c r="O245" i="30"/>
  <c r="O116" i="30"/>
  <c r="O38" i="30"/>
  <c r="O30" i="30"/>
  <c r="O119" i="30"/>
  <c r="O188" i="30"/>
  <c r="O144" i="30"/>
  <c r="O61" i="30"/>
  <c r="O73" i="30"/>
  <c r="U7" i="30"/>
  <c r="O7" i="30"/>
  <c r="O115" i="30"/>
  <c r="O153" i="30"/>
  <c r="B657" i="30"/>
  <c r="O15" i="30"/>
  <c r="B646" i="30"/>
  <c r="B643" i="30"/>
  <c r="U265" i="30"/>
  <c r="O265" i="30"/>
  <c r="U176" i="30"/>
  <c r="O168" i="30"/>
  <c r="O101" i="30"/>
  <c r="O179" i="30"/>
  <c r="O104" i="30"/>
  <c r="O3" i="30"/>
  <c r="O129" i="30"/>
  <c r="O14" i="30"/>
  <c r="O46" i="30"/>
  <c r="O191" i="30"/>
  <c r="O51" i="30"/>
  <c r="O184" i="30"/>
  <c r="U20" i="30"/>
  <c r="O308" i="30"/>
  <c r="O270" i="30"/>
  <c r="O279" i="30"/>
  <c r="B642" i="30"/>
  <c r="B627" i="30"/>
  <c r="B624" i="30"/>
  <c r="O328" i="30"/>
  <c r="O80" i="30"/>
  <c r="O169" i="30"/>
  <c r="O135" i="30"/>
  <c r="O11" i="30"/>
  <c r="O139" i="30"/>
  <c r="O13" i="30"/>
  <c r="O77" i="30"/>
  <c r="U6" i="30"/>
  <c r="O72" i="30"/>
  <c r="B623" i="30"/>
  <c r="B606" i="30"/>
  <c r="B603" i="30"/>
  <c r="O175" i="30"/>
  <c r="O151" i="30"/>
  <c r="O154" i="30"/>
  <c r="O58" i="30"/>
  <c r="O163" i="30"/>
  <c r="O39" i="30"/>
  <c r="O212" i="30"/>
  <c r="O41" i="30"/>
  <c r="O194" i="30"/>
  <c r="O33" i="30"/>
  <c r="B587" i="30"/>
  <c r="O586" i="30"/>
  <c r="B586" i="30"/>
  <c r="B584" i="30"/>
  <c r="O174" i="30"/>
  <c r="O109" i="30"/>
  <c r="O161" i="30"/>
  <c r="O75" i="30"/>
  <c r="O147" i="30"/>
  <c r="O22" i="30"/>
  <c r="O8" i="30"/>
  <c r="O89" i="30"/>
  <c r="O48" i="30"/>
  <c r="O185" i="30"/>
  <c r="O125" i="30"/>
  <c r="O28" i="30"/>
  <c r="B575" i="30"/>
  <c r="B574" i="30"/>
  <c r="O573" i="30"/>
  <c r="L572" i="30"/>
  <c r="B572" i="30"/>
  <c r="O173" i="30"/>
  <c r="O210" i="30"/>
  <c r="Q150" i="30"/>
  <c r="O141" i="30"/>
  <c r="U96" i="30"/>
  <c r="O96" i="30"/>
  <c r="O9" i="30"/>
  <c r="O339" i="30"/>
  <c r="U339" i="30"/>
  <c r="V570" i="30"/>
  <c r="U159" i="30"/>
  <c r="O93" i="30"/>
  <c r="O208" i="30"/>
  <c r="O349" i="30"/>
  <c r="O242" i="30"/>
  <c r="O231" i="30"/>
  <c r="B571" i="30"/>
  <c r="U564" i="30"/>
  <c r="S558" i="30"/>
  <c r="B557" i="30"/>
  <c r="B556" i="30"/>
  <c r="V555" i="30"/>
  <c r="T555" i="30"/>
  <c r="U555" i="30"/>
  <c r="V554" i="30"/>
  <c r="B554" i="30"/>
  <c r="S545" i="30"/>
  <c r="L545" i="30"/>
  <c r="U254" i="30"/>
  <c r="U327" i="30"/>
  <c r="O206" i="30"/>
  <c r="O120" i="30"/>
  <c r="O140" i="30"/>
  <c r="O341" i="30"/>
  <c r="O53" i="30"/>
  <c r="U50" i="30"/>
  <c r="O50" i="30"/>
  <c r="O158" i="30"/>
  <c r="U158" i="30"/>
  <c r="O205" i="30"/>
  <c r="O143" i="30"/>
  <c r="O99" i="30"/>
  <c r="B553" i="30"/>
  <c r="O252" i="30"/>
  <c r="O222" i="30"/>
  <c r="O42" i="30"/>
  <c r="O304" i="30"/>
  <c r="E517" i="30"/>
  <c r="B514" i="30"/>
  <c r="B512" i="30"/>
  <c r="S503" i="30"/>
  <c r="L503" i="30"/>
  <c r="U88" i="30"/>
  <c r="O88" i="30"/>
  <c r="O241" i="30"/>
  <c r="U346" i="30"/>
  <c r="O117" i="30"/>
  <c r="U98" i="30"/>
  <c r="O98" i="30"/>
  <c r="U17" i="30"/>
  <c r="O17" i="30"/>
  <c r="U124" i="30"/>
  <c r="O124" i="30"/>
  <c r="O342" i="30"/>
  <c r="O288" i="30"/>
  <c r="O204" i="30"/>
  <c r="O32" i="30"/>
  <c r="O326" i="30"/>
  <c r="B511" i="30"/>
  <c r="O138" i="30"/>
  <c r="E475" i="30"/>
  <c r="B472" i="30"/>
  <c r="B470" i="30"/>
  <c r="S461" i="30"/>
  <c r="L461" i="30"/>
  <c r="O132" i="30"/>
  <c r="O203" i="30"/>
  <c r="O148" i="30"/>
  <c r="O347" i="30"/>
  <c r="O105" i="30"/>
  <c r="U309" i="30"/>
  <c r="U240" i="30"/>
  <c r="O240" i="30"/>
  <c r="U103" i="30"/>
  <c r="O103" i="30"/>
  <c r="U167" i="30"/>
  <c r="O167" i="30"/>
  <c r="O155" i="30"/>
  <c r="U157" i="30"/>
  <c r="O157" i="30"/>
  <c r="Y131" i="30"/>
  <c r="O131" i="30"/>
  <c r="U131" i="30"/>
  <c r="U220" i="30"/>
  <c r="U202" i="30"/>
  <c r="O202" i="30"/>
  <c r="B469" i="30"/>
  <c r="E437" i="30"/>
  <c r="B434" i="30"/>
  <c r="B432" i="30"/>
  <c r="O27" i="30"/>
  <c r="S424" i="30"/>
  <c r="O230" i="30"/>
  <c r="O264" i="30"/>
  <c r="U74" i="30"/>
  <c r="O74" i="30"/>
  <c r="U201" i="30"/>
  <c r="O201" i="30"/>
  <c r="U324" i="30"/>
  <c r="L424" i="30"/>
  <c r="U200" i="30"/>
  <c r="O200" i="30"/>
  <c r="X199" i="30"/>
  <c r="O239" i="30"/>
  <c r="U239" i="30"/>
  <c r="O172" i="30"/>
  <c r="B431" i="30"/>
  <c r="O307" i="30"/>
  <c r="O34" i="30"/>
  <c r="O272" i="30"/>
  <c r="E412" i="30"/>
  <c r="O410" i="30"/>
  <c r="B409" i="30"/>
  <c r="B407" i="30"/>
  <c r="O295" i="30"/>
  <c r="O198" i="30"/>
  <c r="U408" i="30"/>
  <c r="O44" i="30"/>
  <c r="O97" i="30"/>
  <c r="S408" i="30"/>
  <c r="O232" i="30"/>
  <c r="U407" i="30"/>
  <c r="O126" i="30"/>
  <c r="U126" i="30"/>
  <c r="U343" i="30"/>
  <c r="O343" i="30"/>
  <c r="U112" i="30"/>
  <c r="O112" i="30"/>
  <c r="O65" i="30"/>
  <c r="O237" i="30"/>
  <c r="O95" i="30"/>
  <c r="U95" i="30"/>
  <c r="O253" i="30"/>
  <c r="B406" i="30"/>
  <c r="O171" i="30"/>
  <c r="U171" i="30"/>
  <c r="U226" i="30"/>
  <c r="V305" i="30"/>
  <c r="E399" i="30"/>
  <c r="O397" i="30"/>
  <c r="K397" i="30"/>
  <c r="B396" i="30"/>
  <c r="B394" i="30"/>
  <c r="O108" i="30"/>
  <c r="O250" i="30"/>
  <c r="O282" i="30"/>
  <c r="O269" i="30"/>
  <c r="O145" i="30"/>
  <c r="U145" i="30"/>
  <c r="O193" i="30"/>
  <c r="O234" i="30"/>
  <c r="O249" i="30"/>
  <c r="U323" i="30"/>
  <c r="O323" i="30"/>
  <c r="T399" i="30"/>
  <c r="U322" i="30"/>
  <c r="O10" i="30"/>
  <c r="O298" i="30"/>
  <c r="O296" i="30"/>
  <c r="O320" i="30"/>
  <c r="B393" i="30"/>
  <c r="O25" i="30"/>
  <c r="E385" i="30"/>
  <c r="E384" i="30"/>
  <c r="B383" i="30"/>
  <c r="E382" i="30"/>
  <c r="E381" i="30"/>
  <c r="E386" i="30"/>
  <c r="B381" i="30"/>
  <c r="U91" i="30"/>
  <c r="O91" i="30"/>
  <c r="O197" i="30"/>
  <c r="U160" i="30"/>
  <c r="U273" i="30"/>
  <c r="O273" i="30"/>
  <c r="O302" i="30"/>
  <c r="U113" i="30"/>
  <c r="O267" i="30"/>
  <c r="O196" i="30"/>
  <c r="O297" i="30"/>
  <c r="U297" i="30"/>
  <c r="O24" i="30"/>
  <c r="O294" i="30"/>
  <c r="U67" i="30"/>
  <c r="O67" i="30"/>
  <c r="B380" i="30"/>
  <c r="E374" i="30"/>
  <c r="B371" i="30"/>
  <c r="B369" i="30"/>
  <c r="B368" i="30"/>
  <c r="B374" i="30"/>
  <c r="U31" i="30"/>
  <c r="O312" i="30"/>
  <c r="O221" i="30"/>
  <c r="O281" i="30"/>
  <c r="B362" i="30"/>
  <c r="B361" i="30"/>
  <c r="B359" i="30"/>
  <c r="C357" i="30"/>
  <c r="B357" i="30"/>
  <c r="B356" i="30"/>
  <c r="U238" i="30"/>
  <c r="U650" i="1"/>
  <c r="L71" i="29"/>
  <c r="K71" i="29"/>
  <c r="K74" i="29" s="1"/>
  <c r="J71" i="29"/>
  <c r="J74" i="29" s="1"/>
  <c r="U168" i="12"/>
  <c r="O123" i="12"/>
  <c r="O121" i="12"/>
  <c r="I42" i="25"/>
  <c r="O122" i="12"/>
  <c r="O119" i="12"/>
  <c r="O608" i="1"/>
  <c r="O116" i="12"/>
  <c r="O606" i="1"/>
  <c r="O609" i="1"/>
  <c r="O117" i="12"/>
  <c r="O115" i="12"/>
  <c r="O114" i="12"/>
  <c r="O612" i="1"/>
  <c r="O113" i="12"/>
  <c r="J36" i="25"/>
  <c r="I36" i="25"/>
  <c r="I41" i="25"/>
  <c r="O604" i="1"/>
  <c r="O112" i="12"/>
  <c r="O605" i="1"/>
  <c r="O111" i="12"/>
  <c r="O110" i="12"/>
  <c r="O643" i="1"/>
  <c r="O603" i="1"/>
  <c r="O108" i="12"/>
  <c r="U634" i="1"/>
  <c r="O141" i="12"/>
  <c r="O600" i="1"/>
  <c r="J42" i="25"/>
  <c r="I37" i="25"/>
  <c r="J35" i="25"/>
  <c r="I35" i="25"/>
  <c r="J34" i="25"/>
  <c r="I34" i="25"/>
  <c r="J33" i="25"/>
  <c r="I33" i="25"/>
  <c r="I28" i="25"/>
  <c r="J28" i="25"/>
  <c r="O632" i="1"/>
  <c r="O107" i="12"/>
  <c r="O613" i="1"/>
  <c r="O139" i="12"/>
  <c r="O118" i="12"/>
  <c r="Q127" i="12" s="1"/>
  <c r="B654" i="1"/>
  <c r="Q2" i="4" s="1"/>
  <c r="O105" i="12"/>
  <c r="O106" i="12"/>
  <c r="B129" i="31"/>
  <c r="C125" i="31"/>
  <c r="C124" i="31"/>
  <c r="C90" i="31"/>
  <c r="B94" i="31"/>
  <c r="B154" i="31"/>
  <c r="C150" i="31"/>
  <c r="C149" i="31"/>
  <c r="C136" i="31"/>
  <c r="C137" i="31"/>
  <c r="B141" i="31"/>
  <c r="C107" i="31"/>
  <c r="B111" i="31"/>
  <c r="C106" i="31"/>
  <c r="B583" i="30"/>
  <c r="B602" i="30"/>
  <c r="C369" i="30"/>
  <c r="B647" i="30"/>
  <c r="B648" i="30"/>
  <c r="C642" i="30"/>
  <c r="C643" i="30"/>
  <c r="C583" i="30"/>
  <c r="B588" i="30"/>
  <c r="B589" i="30"/>
  <c r="C584" i="30"/>
  <c r="B679" i="30"/>
  <c r="B680" i="30"/>
  <c r="C675" i="30"/>
  <c r="C674" i="30"/>
  <c r="B385" i="30"/>
  <c r="C381" i="30"/>
  <c r="B386" i="30"/>
  <c r="B475" i="30"/>
  <c r="B474" i="30"/>
  <c r="C470" i="30"/>
  <c r="C469" i="30"/>
  <c r="B628" i="30"/>
  <c r="B629" i="30"/>
  <c r="C624" i="30"/>
  <c r="C623" i="30"/>
  <c r="B607" i="30"/>
  <c r="B608" i="30"/>
  <c r="C603" i="30"/>
  <c r="B412" i="30"/>
  <c r="C407" i="30"/>
  <c r="B411" i="30"/>
  <c r="C406" i="30"/>
  <c r="C512" i="30"/>
  <c r="C511" i="30"/>
  <c r="B517" i="30"/>
  <c r="B516" i="30"/>
  <c r="B576" i="30"/>
  <c r="B577" i="30"/>
  <c r="C572" i="30"/>
  <c r="C571" i="30"/>
  <c r="C658" i="30"/>
  <c r="C657" i="30"/>
  <c r="B662" i="30"/>
  <c r="B663" i="30"/>
  <c r="B436" i="30"/>
  <c r="C432" i="30"/>
  <c r="C431" i="30"/>
  <c r="B437" i="30"/>
  <c r="C394" i="30"/>
  <c r="B399" i="30"/>
  <c r="C393" i="30"/>
  <c r="B398" i="30"/>
  <c r="U409" i="30"/>
  <c r="C554" i="30"/>
  <c r="B558" i="30"/>
  <c r="B559" i="30"/>
  <c r="C602" i="30"/>
  <c r="C553" i="30"/>
  <c r="O693" i="30"/>
  <c r="B373" i="30"/>
  <c r="Q567" i="30"/>
  <c r="O595" i="1"/>
  <c r="B161" i="12"/>
  <c r="B159" i="12"/>
  <c r="Q3" i="4" s="1"/>
  <c r="O593" i="1"/>
  <c r="O599" i="1"/>
  <c r="O594" i="1"/>
  <c r="P693" i="30"/>
  <c r="O697" i="30"/>
  <c r="C19" i="25"/>
  <c r="O590" i="1"/>
  <c r="O104" i="12"/>
  <c r="U104" i="12" s="1"/>
  <c r="P61" i="4"/>
  <c r="O102" i="12"/>
  <c r="U593" i="1"/>
  <c r="O589" i="1"/>
  <c r="O101" i="12"/>
  <c r="O588" i="1"/>
  <c r="U574" i="1"/>
  <c r="O574" i="1" s="1"/>
  <c r="O572" i="1"/>
  <c r="O571" i="1"/>
  <c r="O82" i="12"/>
  <c r="O569" i="1"/>
  <c r="O607" i="1"/>
  <c r="O570" i="1"/>
  <c r="O103" i="12"/>
  <c r="O568" i="1"/>
  <c r="M92" i="12"/>
  <c r="G90" i="12"/>
  <c r="H92" i="12"/>
  <c r="I93" i="12"/>
  <c r="O567" i="1"/>
  <c r="B617" i="1"/>
  <c r="P2" i="4" s="1"/>
  <c r="B620" i="1"/>
  <c r="O602" i="1"/>
  <c r="O75" i="12"/>
  <c r="B129" i="12"/>
  <c r="B128" i="12"/>
  <c r="B126" i="12"/>
  <c r="P3" i="4" s="1"/>
  <c r="O559" i="1"/>
  <c r="O557" i="1"/>
  <c r="U556" i="1"/>
  <c r="U573" i="1"/>
  <c r="O553" i="1"/>
  <c r="O552" i="1"/>
  <c r="O63" i="12"/>
  <c r="O551" i="1"/>
  <c r="O565" i="1"/>
  <c r="O77" i="12"/>
  <c r="O80" i="12"/>
  <c r="O527" i="1"/>
  <c r="O564" i="1"/>
  <c r="O72" i="12"/>
  <c r="O518" i="1"/>
  <c r="O81" i="12"/>
  <c r="U81" i="12" s="1"/>
  <c r="B91" i="12"/>
  <c r="O3" i="4" s="1"/>
  <c r="O521" i="1"/>
  <c r="B580" i="1"/>
  <c r="B577" i="1"/>
  <c r="O2" i="4" s="1"/>
  <c r="O563" i="1"/>
  <c r="T90" i="12"/>
  <c r="B94" i="12"/>
  <c r="B93" i="12"/>
  <c r="O43" i="12"/>
  <c r="O520" i="1"/>
  <c r="O519" i="1"/>
  <c r="O514" i="1"/>
  <c r="O515" i="1"/>
  <c r="O36" i="12"/>
  <c r="T50" i="12" s="1"/>
  <c r="O637" i="20"/>
  <c r="R635" i="20"/>
  <c r="R631" i="20"/>
  <c r="O331" i="20"/>
  <c r="O248" i="20"/>
  <c r="O134" i="20"/>
  <c r="O133" i="20"/>
  <c r="O132" i="20"/>
  <c r="O131" i="20"/>
  <c r="B587" i="20"/>
  <c r="B584" i="20"/>
  <c r="O2" i="20"/>
  <c r="O329" i="20"/>
  <c r="O328" i="20"/>
  <c r="U127" i="20"/>
  <c r="O127" i="20"/>
  <c r="O126" i="20"/>
  <c r="B583" i="20"/>
  <c r="B553" i="20"/>
  <c r="B540" i="20"/>
  <c r="O125" i="20"/>
  <c r="O121" i="20"/>
  <c r="O119" i="20"/>
  <c r="O118" i="20"/>
  <c r="O327" i="20"/>
  <c r="O116" i="20"/>
  <c r="O114" i="20"/>
  <c r="O110" i="20"/>
  <c r="O109" i="20"/>
  <c r="O142" i="20"/>
  <c r="B524" i="20"/>
  <c r="O523" i="20"/>
  <c r="B523" i="20"/>
  <c r="B521" i="20"/>
  <c r="O108" i="20"/>
  <c r="O105" i="20"/>
  <c r="O104" i="20"/>
  <c r="O103" i="20"/>
  <c r="O102" i="20"/>
  <c r="O101" i="20"/>
  <c r="O100" i="20"/>
  <c r="O322" i="20"/>
  <c r="O99" i="20"/>
  <c r="O98" i="20"/>
  <c r="O97" i="20"/>
  <c r="O143" i="20"/>
  <c r="B512" i="20"/>
  <c r="B511" i="20"/>
  <c r="O510" i="20"/>
  <c r="B539" i="20"/>
  <c r="B554" i="20"/>
  <c r="B555" i="20"/>
  <c r="L509" i="20"/>
  <c r="B509" i="20"/>
  <c r="O96" i="20"/>
  <c r="O95" i="20"/>
  <c r="Q91" i="20"/>
  <c r="O278" i="20"/>
  <c r="U89" i="20"/>
  <c r="O89" i="20"/>
  <c r="O88" i="20"/>
  <c r="O321" i="20"/>
  <c r="U87" i="20"/>
  <c r="O86" i="20"/>
  <c r="O85" i="20"/>
  <c r="O83" i="20"/>
  <c r="O263" i="20"/>
  <c r="B508" i="20"/>
  <c r="O210" i="20"/>
  <c r="U501" i="20"/>
  <c r="S495" i="20"/>
  <c r="B494" i="20"/>
  <c r="B493" i="20"/>
  <c r="V492" i="20"/>
  <c r="U492" i="20"/>
  <c r="T492" i="20"/>
  <c r="V491" i="20"/>
  <c r="B491" i="20"/>
  <c r="B490" i="20"/>
  <c r="S375" i="20"/>
  <c r="L375" i="20"/>
  <c r="U209" i="20"/>
  <c r="U208" i="20"/>
  <c r="O80" i="20"/>
  <c r="O79" i="20"/>
  <c r="O76" i="20"/>
  <c r="O249" i="20"/>
  <c r="O75" i="20"/>
  <c r="U74" i="20"/>
  <c r="O74" i="20"/>
  <c r="O73" i="20"/>
  <c r="U73" i="20"/>
  <c r="O71" i="20"/>
  <c r="O320" i="20"/>
  <c r="O319" i="20"/>
  <c r="O206" i="20"/>
  <c r="O262" i="20"/>
  <c r="O70" i="20"/>
  <c r="O205" i="20"/>
  <c r="E474" i="20"/>
  <c r="B471" i="20"/>
  <c r="B469" i="20"/>
  <c r="S297" i="20"/>
  <c r="L297" i="20"/>
  <c r="U68" i="20"/>
  <c r="O68" i="20"/>
  <c r="O259" i="20"/>
  <c r="U344" i="20"/>
  <c r="O66" i="20"/>
  <c r="U65" i="20"/>
  <c r="O65" i="20"/>
  <c r="U64" i="20"/>
  <c r="O64" i="20"/>
  <c r="U63" i="20"/>
  <c r="O63" i="20"/>
  <c r="O276" i="20"/>
  <c r="O258" i="20"/>
  <c r="O62" i="20"/>
  <c r="O61" i="20"/>
  <c r="O200" i="20"/>
  <c r="O60" i="20"/>
  <c r="B468" i="20"/>
  <c r="E454" i="20"/>
  <c r="B451" i="20"/>
  <c r="B449" i="20"/>
  <c r="S233" i="20"/>
  <c r="L233" i="20"/>
  <c r="O58" i="20"/>
  <c r="O317" i="20"/>
  <c r="O316" i="20"/>
  <c r="O153" i="20"/>
  <c r="O57" i="20"/>
  <c r="U150" i="20"/>
  <c r="U257" i="20"/>
  <c r="O257" i="20"/>
  <c r="U56" i="20"/>
  <c r="O56" i="20"/>
  <c r="U54" i="20"/>
  <c r="O54" i="20"/>
  <c r="O53" i="20"/>
  <c r="U52" i="20"/>
  <c r="O52" i="20"/>
  <c r="B448" i="20"/>
  <c r="Y51" i="20"/>
  <c r="U51" i="20"/>
  <c r="O51" i="20"/>
  <c r="U198" i="20"/>
  <c r="U50" i="20"/>
  <c r="O50" i="20"/>
  <c r="E438" i="20"/>
  <c r="B435" i="20"/>
  <c r="B433" i="20"/>
  <c r="O48" i="20"/>
  <c r="S177" i="20"/>
  <c r="O315" i="20"/>
  <c r="O46" i="20"/>
  <c r="U45" i="20"/>
  <c r="O45" i="20"/>
  <c r="U44" i="20"/>
  <c r="O44" i="20"/>
  <c r="U196" i="20"/>
  <c r="L177" i="20"/>
  <c r="U43" i="20"/>
  <c r="O43" i="20"/>
  <c r="X42" i="20"/>
  <c r="O256" i="20"/>
  <c r="U256" i="20"/>
  <c r="O40" i="20"/>
  <c r="O195" i="20"/>
  <c r="O430" i="20"/>
  <c r="B432" i="20"/>
  <c r="O194" i="20"/>
  <c r="E426" i="20"/>
  <c r="O424" i="20"/>
  <c r="B423" i="20"/>
  <c r="U422" i="20"/>
  <c r="S422" i="20"/>
  <c r="B421" i="20"/>
  <c r="O191" i="20"/>
  <c r="O39" i="20"/>
  <c r="O38" i="20"/>
  <c r="O37" i="20"/>
  <c r="U421" i="20"/>
  <c r="U423" i="20"/>
  <c r="O314" i="20"/>
  <c r="O36" i="20"/>
  <c r="U36" i="20"/>
  <c r="O313" i="20"/>
  <c r="U313" i="20"/>
  <c r="U34" i="20"/>
  <c r="O34" i="20"/>
  <c r="O33" i="20"/>
  <c r="O255" i="20"/>
  <c r="O274" i="20"/>
  <c r="U274" i="20"/>
  <c r="O147" i="20"/>
  <c r="O32" i="20"/>
  <c r="U32" i="20"/>
  <c r="U189" i="20"/>
  <c r="V188" i="20"/>
  <c r="E413" i="20"/>
  <c r="O411" i="20"/>
  <c r="K411" i="20"/>
  <c r="B410" i="20"/>
  <c r="B408" i="20"/>
  <c r="O31" i="20"/>
  <c r="O312" i="20"/>
  <c r="O187" i="20"/>
  <c r="O186" i="20"/>
  <c r="U30" i="20"/>
  <c r="O30" i="20"/>
  <c r="O29" i="20"/>
  <c r="O185" i="20"/>
  <c r="O311" i="20"/>
  <c r="U310" i="20"/>
  <c r="O310" i="20"/>
  <c r="T413" i="20"/>
  <c r="U309" i="20"/>
  <c r="O28" i="20"/>
  <c r="O254" i="20"/>
  <c r="O179" i="20"/>
  <c r="O167" i="20"/>
  <c r="O26" i="20"/>
  <c r="B407" i="20"/>
  <c r="E400" i="20"/>
  <c r="E399" i="20"/>
  <c r="E398" i="20"/>
  <c r="B397" i="20"/>
  <c r="E396" i="20"/>
  <c r="E395" i="20"/>
  <c r="B395" i="20"/>
  <c r="U24" i="20"/>
  <c r="O24" i="20"/>
  <c r="O23" i="20"/>
  <c r="U22" i="20"/>
  <c r="O391" i="20"/>
  <c r="U391" i="20"/>
  <c r="O307" i="20"/>
  <c r="U390" i="20"/>
  <c r="O21" i="20"/>
  <c r="O20" i="20"/>
  <c r="O253" i="20"/>
  <c r="U253" i="20"/>
  <c r="O19" i="20"/>
  <c r="O165" i="20"/>
  <c r="U18" i="20"/>
  <c r="O18" i="20"/>
  <c r="B394" i="20"/>
  <c r="E387" i="20"/>
  <c r="B384" i="20"/>
  <c r="B360" i="20"/>
  <c r="B359" i="20"/>
  <c r="B387" i="20"/>
  <c r="U17" i="20"/>
  <c r="O15" i="20"/>
  <c r="O252" i="20"/>
  <c r="O163" i="20"/>
  <c r="B354" i="20"/>
  <c r="B351" i="20"/>
  <c r="B353" i="20"/>
  <c r="B349" i="20"/>
  <c r="C349" i="20"/>
  <c r="B348" i="20"/>
  <c r="U157" i="20"/>
  <c r="B520" i="20"/>
  <c r="C521" i="20"/>
  <c r="B454" i="20"/>
  <c r="C448" i="20"/>
  <c r="B453" i="20"/>
  <c r="C449" i="20"/>
  <c r="B513" i="20"/>
  <c r="B514" i="20"/>
  <c r="C508" i="20"/>
  <c r="C509" i="20"/>
  <c r="C408" i="20"/>
  <c r="C407" i="20"/>
  <c r="B412" i="20"/>
  <c r="C490" i="20"/>
  <c r="B413" i="20"/>
  <c r="C469" i="20"/>
  <c r="C468" i="20"/>
  <c r="B474" i="20"/>
  <c r="B473" i="20"/>
  <c r="B399" i="20"/>
  <c r="C395" i="20"/>
  <c r="B400" i="20"/>
  <c r="B437" i="20"/>
  <c r="B438" i="20"/>
  <c r="C433" i="20"/>
  <c r="C583" i="20"/>
  <c r="B588" i="20"/>
  <c r="B589" i="20"/>
  <c r="C584" i="20"/>
  <c r="C540" i="20"/>
  <c r="C360" i="20"/>
  <c r="B420" i="20"/>
  <c r="B386" i="20"/>
  <c r="B495" i="20"/>
  <c r="B496" i="20"/>
  <c r="C539" i="20"/>
  <c r="O631" i="20"/>
  <c r="C491" i="20"/>
  <c r="U321" i="20"/>
  <c r="V507" i="20"/>
  <c r="O40" i="12"/>
  <c r="C520" i="20"/>
  <c r="P631" i="20"/>
  <c r="O635" i="20"/>
  <c r="B525" i="20"/>
  <c r="B526" i="20"/>
  <c r="Q504" i="20"/>
  <c r="B425" i="20"/>
  <c r="B426" i="20"/>
  <c r="C421" i="20"/>
  <c r="C420" i="20"/>
  <c r="C432" i="20"/>
  <c r="O516" i="1"/>
  <c r="B51" i="12"/>
  <c r="N3" i="4" s="1"/>
  <c r="U509" i="1"/>
  <c r="O42" i="12"/>
  <c r="O35" i="12"/>
  <c r="O507" i="1"/>
  <c r="O630" i="18"/>
  <c r="R624" i="18"/>
  <c r="R628" i="18"/>
  <c r="O316" i="18"/>
  <c r="O215" i="18"/>
  <c r="O124" i="18"/>
  <c r="O123" i="18"/>
  <c r="O120" i="18"/>
  <c r="O118" i="18"/>
  <c r="O117" i="18"/>
  <c r="O315" i="18"/>
  <c r="O115" i="18"/>
  <c r="O113" i="18"/>
  <c r="O109" i="18"/>
  <c r="O108" i="18"/>
  <c r="O132" i="18"/>
  <c r="B509" i="18"/>
  <c r="B508" i="18"/>
  <c r="B506" i="18"/>
  <c r="O107" i="18"/>
  <c r="O104" i="18"/>
  <c r="O103" i="18"/>
  <c r="O102" i="18"/>
  <c r="O101" i="18"/>
  <c r="O100" i="18"/>
  <c r="O99" i="18"/>
  <c r="O508" i="18"/>
  <c r="O310" i="18"/>
  <c r="O98" i="18"/>
  <c r="O97" i="18"/>
  <c r="O96" i="18"/>
  <c r="O133" i="18"/>
  <c r="B497" i="18"/>
  <c r="B496" i="18"/>
  <c r="O495" i="18"/>
  <c r="L494" i="18"/>
  <c r="B494" i="18"/>
  <c r="O95" i="18"/>
  <c r="O94" i="18"/>
  <c r="Q90" i="18"/>
  <c r="O266" i="18"/>
  <c r="U88" i="18"/>
  <c r="O88" i="18"/>
  <c r="O87" i="18"/>
  <c r="O309" i="18"/>
  <c r="U86" i="18"/>
  <c r="O85" i="18"/>
  <c r="O84" i="18"/>
  <c r="O82" i="18"/>
  <c r="O252" i="18"/>
  <c r="B493" i="18"/>
  <c r="O200" i="18"/>
  <c r="U486" i="18"/>
  <c r="S480" i="18"/>
  <c r="B479" i="18"/>
  <c r="B478" i="18"/>
  <c r="V477" i="18"/>
  <c r="T477" i="18"/>
  <c r="U477" i="18"/>
  <c r="V476" i="18"/>
  <c r="B476" i="18"/>
  <c r="S375" i="18"/>
  <c r="L375" i="18"/>
  <c r="U199" i="18"/>
  <c r="U198" i="18"/>
  <c r="O79" i="18"/>
  <c r="O78" i="18"/>
  <c r="O75" i="18"/>
  <c r="O216" i="18"/>
  <c r="O74" i="18"/>
  <c r="U73" i="18"/>
  <c r="O73" i="18"/>
  <c r="O72" i="18"/>
  <c r="U72" i="18"/>
  <c r="O70" i="18"/>
  <c r="O308" i="18"/>
  <c r="O307" i="18"/>
  <c r="O196" i="18"/>
  <c r="O251" i="18"/>
  <c r="O69" i="18"/>
  <c r="O195" i="18"/>
  <c r="B456" i="18"/>
  <c r="B454" i="18"/>
  <c r="S297" i="18"/>
  <c r="L297" i="18"/>
  <c r="U67" i="18"/>
  <c r="O67" i="18"/>
  <c r="O248" i="18"/>
  <c r="U317" i="18"/>
  <c r="O65" i="18"/>
  <c r="U64" i="18"/>
  <c r="O64" i="18"/>
  <c r="U63" i="18"/>
  <c r="O63" i="18"/>
  <c r="U62" i="18"/>
  <c r="O62" i="18"/>
  <c r="O264" i="18"/>
  <c r="O247" i="18"/>
  <c r="O61" i="18"/>
  <c r="O60" i="18"/>
  <c r="O190" i="18"/>
  <c r="O58" i="18"/>
  <c r="B436" i="18"/>
  <c r="B434" i="18"/>
  <c r="S233" i="18"/>
  <c r="L233" i="18"/>
  <c r="O57" i="18"/>
  <c r="O305" i="18"/>
  <c r="B321" i="18"/>
  <c r="B327" i="18"/>
  <c r="O282" i="18"/>
  <c r="O143" i="18"/>
  <c r="O56" i="18"/>
  <c r="U140" i="18"/>
  <c r="O246" i="18"/>
  <c r="U246" i="18"/>
  <c r="U55" i="18"/>
  <c r="O55" i="18"/>
  <c r="U53" i="18"/>
  <c r="O53" i="18"/>
  <c r="O52" i="18"/>
  <c r="U51" i="18"/>
  <c r="O51" i="18"/>
  <c r="Y50" i="18"/>
  <c r="O50" i="18"/>
  <c r="U50" i="18"/>
  <c r="U188" i="18"/>
  <c r="U48" i="18"/>
  <c r="O48" i="18"/>
  <c r="B420" i="18"/>
  <c r="B418" i="18"/>
  <c r="O47" i="18"/>
  <c r="O281" i="18"/>
  <c r="O45" i="18"/>
  <c r="S177" i="18"/>
  <c r="U44" i="18"/>
  <c r="O44" i="18"/>
  <c r="U43" i="18"/>
  <c r="O43" i="18"/>
  <c r="U186" i="18"/>
  <c r="U42" i="18"/>
  <c r="O42" i="18"/>
  <c r="X41" i="18"/>
  <c r="O245" i="18"/>
  <c r="U245" i="18"/>
  <c r="O39" i="18"/>
  <c r="O185" i="18"/>
  <c r="O415" i="18"/>
  <c r="O184" i="18"/>
  <c r="E411" i="18"/>
  <c r="O409" i="18"/>
  <c r="B408" i="18"/>
  <c r="S407" i="18"/>
  <c r="B406" i="18"/>
  <c r="O167" i="18"/>
  <c r="O38" i="18"/>
  <c r="O37" i="18"/>
  <c r="U407" i="18"/>
  <c r="O36" i="18"/>
  <c r="O280" i="18"/>
  <c r="U406" i="18"/>
  <c r="O35" i="18"/>
  <c r="U35" i="18"/>
  <c r="O279" i="18"/>
  <c r="U279" i="18"/>
  <c r="U33" i="18"/>
  <c r="O33" i="18"/>
  <c r="O32" i="18"/>
  <c r="O244" i="18"/>
  <c r="O262" i="18"/>
  <c r="U262" i="18"/>
  <c r="O137" i="18"/>
  <c r="B405" i="18"/>
  <c r="O31" i="18"/>
  <c r="U31" i="18"/>
  <c r="U165" i="18"/>
  <c r="V164" i="18"/>
  <c r="O396" i="18"/>
  <c r="K396" i="18"/>
  <c r="B395" i="18"/>
  <c r="B393" i="18"/>
  <c r="O30" i="18"/>
  <c r="O278" i="18"/>
  <c r="O163" i="18"/>
  <c r="L177" i="18"/>
  <c r="O162" i="18"/>
  <c r="O29" i="18"/>
  <c r="U29" i="18"/>
  <c r="O28" i="18"/>
  <c r="O161" i="18"/>
  <c r="O277" i="18"/>
  <c r="U276" i="18"/>
  <c r="T398" i="18"/>
  <c r="O276" i="18"/>
  <c r="U275" i="18"/>
  <c r="O27" i="18"/>
  <c r="O243" i="18"/>
  <c r="O159" i="18"/>
  <c r="O157" i="18"/>
  <c r="B392" i="18"/>
  <c r="O25" i="18"/>
  <c r="E384" i="18"/>
  <c r="E383" i="18"/>
  <c r="B360" i="18"/>
  <c r="E359" i="18"/>
  <c r="E358" i="18"/>
  <c r="B358" i="18"/>
  <c r="U23" i="18"/>
  <c r="O23" i="18"/>
  <c r="O22" i="18"/>
  <c r="U21" i="18"/>
  <c r="O354" i="18"/>
  <c r="U354" i="18"/>
  <c r="O273" i="18"/>
  <c r="U353" i="18"/>
  <c r="O20" i="18"/>
  <c r="O19" i="18"/>
  <c r="O242" i="18"/>
  <c r="U242" i="18"/>
  <c r="O18" i="18"/>
  <c r="O155" i="18"/>
  <c r="U17" i="18"/>
  <c r="O17" i="18"/>
  <c r="E350" i="18"/>
  <c r="B347" i="18"/>
  <c r="B345" i="18"/>
  <c r="U16" i="18"/>
  <c r="O14" i="18"/>
  <c r="O241" i="18"/>
  <c r="O153" i="18"/>
  <c r="B344" i="18"/>
  <c r="B324" i="18"/>
  <c r="B322" i="18"/>
  <c r="U147" i="18"/>
  <c r="B417" i="18"/>
  <c r="B357" i="18"/>
  <c r="B453" i="18"/>
  <c r="C454" i="18"/>
  <c r="B505" i="18"/>
  <c r="B475" i="18"/>
  <c r="C476" i="18"/>
  <c r="E385" i="18"/>
  <c r="E439" i="18"/>
  <c r="E398" i="18"/>
  <c r="E459" i="18"/>
  <c r="O624" i="18"/>
  <c r="E423" i="18"/>
  <c r="C418" i="18"/>
  <c r="C417" i="18"/>
  <c r="B423" i="18"/>
  <c r="C393" i="18"/>
  <c r="B398" i="18"/>
  <c r="C392" i="18"/>
  <c r="B459" i="18"/>
  <c r="C358" i="18"/>
  <c r="B385" i="18"/>
  <c r="C505" i="18"/>
  <c r="C506" i="18"/>
  <c r="C345" i="18"/>
  <c r="B350" i="18"/>
  <c r="C406" i="18"/>
  <c r="C405" i="18"/>
  <c r="U408" i="18"/>
  <c r="C494" i="18"/>
  <c r="C493" i="18"/>
  <c r="C322" i="18"/>
  <c r="U309" i="18"/>
  <c r="V492" i="18"/>
  <c r="B433" i="18"/>
  <c r="C453" i="18"/>
  <c r="P624" i="18"/>
  <c r="O628" i="18"/>
  <c r="C433" i="18"/>
  <c r="B439" i="18"/>
  <c r="C434" i="18"/>
  <c r="Q489" i="18"/>
  <c r="O11" i="12"/>
  <c r="U11" i="12" s="1"/>
  <c r="O477" i="1"/>
  <c r="O10" i="12"/>
  <c r="B53" i="12"/>
  <c r="B19" i="12"/>
  <c r="B54" i="12"/>
  <c r="O475" i="1"/>
  <c r="O485" i="1"/>
  <c r="B536" i="1"/>
  <c r="B533" i="1"/>
  <c r="N2" i="4" s="1"/>
  <c r="O465" i="1"/>
  <c r="O5" i="12"/>
  <c r="O4" i="12"/>
  <c r="B20" i="12"/>
  <c r="B17" i="12"/>
  <c r="M3" i="4" s="1"/>
  <c r="O480" i="1"/>
  <c r="O478" i="1"/>
  <c r="O463" i="1"/>
  <c r="O460" i="1"/>
  <c r="O440" i="1"/>
  <c r="O441" i="1"/>
  <c r="O471" i="1"/>
  <c r="O438" i="1"/>
  <c r="O439" i="1"/>
  <c r="O473" i="1"/>
  <c r="B495" i="1"/>
  <c r="B492" i="1"/>
  <c r="M2" i="4" s="1"/>
  <c r="O431" i="1"/>
  <c r="O428" i="1"/>
  <c r="O429" i="1"/>
  <c r="O446" i="1"/>
  <c r="B449" i="1"/>
  <c r="L2" i="4" s="1"/>
  <c r="L16" i="4" s="1"/>
  <c r="O436" i="1"/>
  <c r="O426" i="1"/>
  <c r="O406" i="1"/>
  <c r="O415" i="1"/>
  <c r="O433" i="1"/>
  <c r="O451" i="1" s="1"/>
  <c r="O432" i="1"/>
  <c r="O407" i="1"/>
  <c r="O399" i="1"/>
  <c r="O396" i="1"/>
  <c r="L414" i="1"/>
  <c r="B451" i="1"/>
  <c r="B452" i="1"/>
  <c r="U382" i="1"/>
  <c r="U393" i="1"/>
  <c r="O391" i="1"/>
  <c r="O387" i="1"/>
  <c r="O384" i="1"/>
  <c r="U397" i="1"/>
  <c r="O397" i="1"/>
  <c r="O386" i="1"/>
  <c r="O392" i="1"/>
  <c r="M69" i="7"/>
  <c r="U343" i="1"/>
  <c r="O340" i="1"/>
  <c r="V373" i="1"/>
  <c r="T373" i="1"/>
  <c r="U373" i="1" s="1"/>
  <c r="S376" i="1"/>
  <c r="V372" i="1"/>
  <c r="O335" i="1"/>
  <c r="O341" i="1"/>
  <c r="Q401" i="1"/>
  <c r="U342" i="1"/>
  <c r="O332" i="1"/>
  <c r="O337" i="1"/>
  <c r="O333" i="1"/>
  <c r="O328" i="1"/>
  <c r="O329" i="1"/>
  <c r="B414" i="1"/>
  <c r="K2" i="4" s="1"/>
  <c r="K16" i="4" s="1"/>
  <c r="O394" i="1"/>
  <c r="U394" i="1" s="1"/>
  <c r="V412" i="1" s="1"/>
  <c r="O326" i="1"/>
  <c r="O325" i="1"/>
  <c r="O327" i="1"/>
  <c r="B416" i="1"/>
  <c r="B417" i="1"/>
  <c r="O862" i="1"/>
  <c r="R862" i="1"/>
  <c r="O864" i="1"/>
  <c r="O323" i="1"/>
  <c r="B374" i="1"/>
  <c r="B375" i="1"/>
  <c r="U332" i="1"/>
  <c r="O331" i="1"/>
  <c r="U331" i="1" s="1"/>
  <c r="O324" i="1"/>
  <c r="B372" i="1"/>
  <c r="J2" i="4" s="1"/>
  <c r="J16" i="4" s="1"/>
  <c r="B306" i="1"/>
  <c r="I2" i="4" s="1"/>
  <c r="I16" i="4" s="1"/>
  <c r="S363" i="1"/>
  <c r="L363" i="1"/>
  <c r="U270" i="1"/>
  <c r="O264" i="1"/>
  <c r="O261" i="1"/>
  <c r="O262" i="1"/>
  <c r="U265" i="1"/>
  <c r="O260" i="1"/>
  <c r="O270" i="1"/>
  <c r="O256" i="1"/>
  <c r="O253" i="1"/>
  <c r="O254" i="1"/>
  <c r="B308" i="1"/>
  <c r="B21" i="1"/>
  <c r="B27" i="1" s="1"/>
  <c r="O40" i="1"/>
  <c r="O41" i="1"/>
  <c r="O43" i="1"/>
  <c r="O60" i="1"/>
  <c r="O61" i="1"/>
  <c r="O63" i="1"/>
  <c r="O64" i="1"/>
  <c r="U64" i="1" s="1"/>
  <c r="O65" i="1"/>
  <c r="O66" i="1"/>
  <c r="O68" i="1"/>
  <c r="O69" i="1"/>
  <c r="U69" i="1" s="1"/>
  <c r="O71" i="1"/>
  <c r="O72" i="1"/>
  <c r="O90" i="1"/>
  <c r="O91" i="1"/>
  <c r="O93" i="1"/>
  <c r="O95" i="1"/>
  <c r="O97" i="1"/>
  <c r="O100" i="1"/>
  <c r="O101" i="1"/>
  <c r="O102" i="1"/>
  <c r="O103" i="1"/>
  <c r="O104" i="1"/>
  <c r="U104" i="1" s="1"/>
  <c r="O105" i="1"/>
  <c r="O106" i="1"/>
  <c r="O107" i="1"/>
  <c r="O108" i="1"/>
  <c r="O123" i="1"/>
  <c r="U123" i="1" s="1"/>
  <c r="O125" i="1"/>
  <c r="O126" i="1"/>
  <c r="U126" i="1" s="1"/>
  <c r="O127" i="1"/>
  <c r="O128" i="1"/>
  <c r="O129" i="1"/>
  <c r="O130" i="1"/>
  <c r="U130" i="1" s="1"/>
  <c r="O132" i="1"/>
  <c r="U132" i="1" s="1"/>
  <c r="O133" i="1"/>
  <c r="O134" i="1"/>
  <c r="S144" i="1" s="1"/>
  <c r="O135" i="1"/>
  <c r="O136" i="1"/>
  <c r="O137" i="1"/>
  <c r="O152" i="1"/>
  <c r="O153" i="1"/>
  <c r="O155" i="1"/>
  <c r="O156" i="1"/>
  <c r="O158" i="1"/>
  <c r="U158" i="1" s="1"/>
  <c r="O162" i="1"/>
  <c r="O164" i="1"/>
  <c r="O165" i="1"/>
  <c r="O166" i="1"/>
  <c r="S177" i="1" s="1"/>
  <c r="O167" i="1"/>
  <c r="O179" i="1"/>
  <c r="O201" i="1"/>
  <c r="O203" i="1"/>
  <c r="U203" i="1" s="1"/>
  <c r="O204" i="1"/>
  <c r="O205" i="1"/>
  <c r="O206" i="1"/>
  <c r="O208" i="1"/>
  <c r="O210" i="1"/>
  <c r="U210" i="1" s="1"/>
  <c r="O212" i="1"/>
  <c r="O213" i="1"/>
  <c r="O214" i="1"/>
  <c r="O215" i="1"/>
  <c r="O217" i="1"/>
  <c r="O252" i="1"/>
  <c r="O257" i="1"/>
  <c r="O263" i="1"/>
  <c r="O268" i="1"/>
  <c r="B242" i="1"/>
  <c r="H2" i="4" s="1"/>
  <c r="H16" i="4" s="1"/>
  <c r="U262" i="1"/>
  <c r="U263" i="1"/>
  <c r="U261" i="1"/>
  <c r="E311" i="1"/>
  <c r="S297" i="1"/>
  <c r="L297" i="1"/>
  <c r="U208" i="1"/>
  <c r="U206" i="1"/>
  <c r="U211" i="1"/>
  <c r="U202" i="1"/>
  <c r="U201" i="1"/>
  <c r="U204" i="1"/>
  <c r="Y203" i="1"/>
  <c r="U164" i="1"/>
  <c r="B188" i="1"/>
  <c r="B244" i="1"/>
  <c r="E247" i="1"/>
  <c r="S233" i="1"/>
  <c r="L233" i="1"/>
  <c r="X160" i="1"/>
  <c r="J111" i="2"/>
  <c r="K111" i="2"/>
  <c r="O17" i="3"/>
  <c r="U162" i="1"/>
  <c r="U165" i="1"/>
  <c r="L26" i="3"/>
  <c r="B186" i="1"/>
  <c r="G2" i="4" s="1"/>
  <c r="G16" i="4" s="1"/>
  <c r="B143" i="1"/>
  <c r="F2" i="4" s="1"/>
  <c r="F16" i="4" s="1"/>
  <c r="B111" i="1"/>
  <c r="E2" i="4" s="1"/>
  <c r="E16" i="4" s="1"/>
  <c r="B78" i="1"/>
  <c r="D2" i="4" s="1"/>
  <c r="D16" i="4" s="1"/>
  <c r="B51" i="1"/>
  <c r="C2" i="4" s="1"/>
  <c r="C16" i="4" s="1"/>
  <c r="B22" i="1"/>
  <c r="O9" i="3"/>
  <c r="E191" i="1"/>
  <c r="U122" i="1"/>
  <c r="I134" i="2"/>
  <c r="I133" i="2"/>
  <c r="I132" i="2"/>
  <c r="I131" i="2"/>
  <c r="I130" i="2"/>
  <c r="I129" i="2"/>
  <c r="I128" i="2"/>
  <c r="I127" i="2"/>
  <c r="I126" i="2"/>
  <c r="I125" i="2"/>
  <c r="I124" i="2"/>
  <c r="I123" i="2"/>
  <c r="I122" i="2"/>
  <c r="I121" i="2"/>
  <c r="I120" i="2"/>
  <c r="I119" i="2"/>
  <c r="I118" i="2"/>
  <c r="I117" i="2"/>
  <c r="I116" i="2"/>
  <c r="I115" i="2"/>
  <c r="I114" i="2"/>
  <c r="I113" i="2"/>
  <c r="I112" i="2"/>
  <c r="I111" i="2"/>
  <c r="I110" i="2"/>
  <c r="I109" i="2"/>
  <c r="I108" i="2"/>
  <c r="I107" i="2"/>
  <c r="H135" i="2"/>
  <c r="G135" i="2"/>
  <c r="F135" i="2"/>
  <c r="I135" i="2"/>
  <c r="D135" i="2"/>
  <c r="C135" i="2"/>
  <c r="V121" i="1"/>
  <c r="U129" i="1"/>
  <c r="O6" i="3"/>
  <c r="U5" i="3"/>
  <c r="K114" i="1"/>
  <c r="E148" i="1"/>
  <c r="B145" i="1"/>
  <c r="O146" i="1"/>
  <c r="U100" i="1"/>
  <c r="O114" i="1"/>
  <c r="U99" i="1"/>
  <c r="E116" i="1"/>
  <c r="B113" i="1"/>
  <c r="E81" i="1"/>
  <c r="E82" i="1"/>
  <c r="E79" i="1"/>
  <c r="E78" i="1"/>
  <c r="B80" i="1"/>
  <c r="U67" i="1"/>
  <c r="U60" i="1"/>
  <c r="U72" i="1"/>
  <c r="E56" i="1"/>
  <c r="U70" i="1"/>
  <c r="U46" i="1"/>
  <c r="B53" i="1"/>
  <c r="B24" i="1"/>
  <c r="O16" i="2"/>
  <c r="O21" i="2"/>
  <c r="O22" i="2"/>
  <c r="O23" i="2"/>
  <c r="U11" i="1"/>
  <c r="U163" i="1"/>
  <c r="L177" i="1" s="1"/>
  <c r="B11" i="3"/>
  <c r="U6" i="3"/>
  <c r="B438" i="18"/>
  <c r="B458" i="18"/>
  <c r="B480" i="18"/>
  <c r="B481" i="18"/>
  <c r="B498" i="18"/>
  <c r="B499" i="18"/>
  <c r="B326" i="18"/>
  <c r="B510" i="18"/>
  <c r="B511" i="18"/>
  <c r="B384" i="18"/>
  <c r="B410" i="18"/>
  <c r="B349" i="18"/>
  <c r="B411" i="18"/>
  <c r="B397" i="18"/>
  <c r="C475" i="18"/>
  <c r="B422" i="18"/>
  <c r="R16" i="4" l="1"/>
  <c r="B90" i="12"/>
  <c r="C91" i="12" s="1"/>
  <c r="B26" i="1"/>
  <c r="B7" i="4"/>
  <c r="C22" i="1"/>
  <c r="B48" i="25"/>
  <c r="E83" i="1"/>
  <c r="B241" i="1"/>
  <c r="C242" i="1" s="1"/>
  <c r="B305" i="1"/>
  <c r="B310" i="1" s="1"/>
  <c r="B50" i="1"/>
  <c r="C51" i="1" s="1"/>
  <c r="B125" i="12"/>
  <c r="B16" i="12"/>
  <c r="O165" i="12"/>
  <c r="B158" i="12"/>
  <c r="C159" i="12" s="1"/>
  <c r="O127" i="12"/>
  <c r="B50" i="12"/>
  <c r="O162" i="12"/>
  <c r="B77" i="1"/>
  <c r="B83" i="1" s="1"/>
  <c r="B576" i="1"/>
  <c r="B581" i="1" s="1"/>
  <c r="B582" i="1" s="1"/>
  <c r="B142" i="1"/>
  <c r="F7" i="4" s="1"/>
  <c r="F18" i="4" s="1"/>
  <c r="F17" i="4" s="1"/>
  <c r="Q409" i="1"/>
  <c r="B448" i="1"/>
  <c r="C449" i="1" s="1"/>
  <c r="T116" i="1"/>
  <c r="B185" i="1"/>
  <c r="C186" i="1" s="1"/>
  <c r="O16" i="4"/>
  <c r="I46" i="25"/>
  <c r="J46" i="25"/>
  <c r="K28" i="25"/>
  <c r="B207" i="12"/>
  <c r="C252" i="12" s="1"/>
  <c r="Q16" i="4"/>
  <c r="B653" i="1"/>
  <c r="Q7" i="4" s="1"/>
  <c r="Q11" i="4" s="1"/>
  <c r="B413" i="1"/>
  <c r="C414" i="1" s="1"/>
  <c r="B532" i="1"/>
  <c r="C533" i="1" s="1"/>
  <c r="B491" i="1"/>
  <c r="C492" i="1" s="1"/>
  <c r="U144" i="1"/>
  <c r="B110" i="1"/>
  <c r="B116" i="1" s="1"/>
  <c r="B371" i="1"/>
  <c r="J7" i="4" s="1"/>
  <c r="J18" i="4" s="1"/>
  <c r="J17" i="4" s="1"/>
  <c r="B616" i="1"/>
  <c r="C617" i="1" s="1"/>
  <c r="U143" i="1"/>
  <c r="B701" i="1"/>
  <c r="R7" i="4" s="1"/>
  <c r="B2" i="4"/>
  <c r="B16" i="4" s="1"/>
  <c r="M16" i="4"/>
  <c r="B18" i="25"/>
  <c r="B21" i="25" s="1"/>
  <c r="N16" i="4"/>
  <c r="P16" i="4"/>
  <c r="J22" i="4" l="1"/>
  <c r="J23" i="4"/>
  <c r="J21" i="4"/>
  <c r="F22" i="4"/>
  <c r="F23" i="4"/>
  <c r="F21" i="4"/>
  <c r="B18" i="4"/>
  <c r="B17" i="4" s="1"/>
  <c r="C17" i="12"/>
  <c r="M8" i="4"/>
  <c r="C125" i="12"/>
  <c r="R8" i="4"/>
  <c r="R12" i="4" s="1"/>
  <c r="B212" i="12"/>
  <c r="B213" i="12" s="1"/>
  <c r="R11" i="4"/>
  <c r="C742" i="1"/>
  <c r="O7" i="4"/>
  <c r="O11" i="4" s="1"/>
  <c r="C577" i="1"/>
  <c r="B95" i="12"/>
  <c r="D7" i="4"/>
  <c r="D18" i="4" s="1"/>
  <c r="D17" i="4" s="1"/>
  <c r="O8" i="4"/>
  <c r="O12" i="4" s="1"/>
  <c r="C306" i="1"/>
  <c r="B55" i="1"/>
  <c r="B56" i="1"/>
  <c r="C491" i="1"/>
  <c r="B453" i="1"/>
  <c r="B454" i="1" s="1"/>
  <c r="K7" i="4"/>
  <c r="K18" i="4" s="1"/>
  <c r="B247" i="1"/>
  <c r="B418" i="1"/>
  <c r="B419" i="1" s="1"/>
  <c r="H7" i="4"/>
  <c r="H18" i="4" s="1"/>
  <c r="H17" i="4" s="1"/>
  <c r="C448" i="1"/>
  <c r="B246" i="1"/>
  <c r="B311" i="1"/>
  <c r="B21" i="12"/>
  <c r="K46" i="25"/>
  <c r="B163" i="12"/>
  <c r="C305" i="1"/>
  <c r="L7" i="4"/>
  <c r="I7" i="4"/>
  <c r="I18" i="4" s="1"/>
  <c r="I17" i="4" s="1"/>
  <c r="Q8" i="4"/>
  <c r="C158" i="12"/>
  <c r="B115" i="1"/>
  <c r="G7" i="4"/>
  <c r="G18" i="4" s="1"/>
  <c r="G17" i="4" s="1"/>
  <c r="M7" i="4"/>
  <c r="M11" i="4" s="1"/>
  <c r="B496" i="1"/>
  <c r="B497" i="1" s="1"/>
  <c r="C576" i="1"/>
  <c r="C7" i="4"/>
  <c r="C18" i="4" s="1"/>
  <c r="C17" i="4" s="1"/>
  <c r="C185" i="1"/>
  <c r="B148" i="1"/>
  <c r="B191" i="1"/>
  <c r="B130" i="12"/>
  <c r="C126" i="12"/>
  <c r="P8" i="4"/>
  <c r="P12" i="4" s="1"/>
  <c r="C51" i="12"/>
  <c r="N8" i="4"/>
  <c r="N12" i="4" s="1"/>
  <c r="C50" i="12"/>
  <c r="B55" i="12"/>
  <c r="C90" i="12"/>
  <c r="B147" i="1"/>
  <c r="C532" i="1"/>
  <c r="B82" i="1"/>
  <c r="B190" i="1"/>
  <c r="B537" i="1"/>
  <c r="B538" i="1" s="1"/>
  <c r="C241" i="1"/>
  <c r="C78" i="1"/>
  <c r="C143" i="1"/>
  <c r="N7" i="4"/>
  <c r="N11" i="4" s="1"/>
  <c r="C207" i="12"/>
  <c r="C208" i="12"/>
  <c r="B658" i="1"/>
  <c r="B659" i="1" s="1"/>
  <c r="C654" i="1"/>
  <c r="C111" i="1"/>
  <c r="C616" i="1"/>
  <c r="P7" i="4"/>
  <c r="P11" i="4" s="1"/>
  <c r="B621" i="1"/>
  <c r="B622" i="1" s="1"/>
  <c r="C110" i="1"/>
  <c r="C653" i="1"/>
  <c r="B376" i="1"/>
  <c r="B377" i="1" s="1"/>
  <c r="C372" i="1"/>
  <c r="C371" i="1"/>
  <c r="E7" i="4"/>
  <c r="E18" i="4" s="1"/>
  <c r="C142" i="1"/>
  <c r="C413" i="1"/>
  <c r="U145" i="1"/>
  <c r="C701" i="1"/>
  <c r="B706" i="1"/>
  <c r="B707" i="1" s="1"/>
  <c r="C702" i="1"/>
  <c r="K17" i="4" l="1"/>
  <c r="K25" i="4"/>
  <c r="W8" i="4"/>
  <c r="W7" i="4"/>
  <c r="F24" i="4"/>
  <c r="E17" i="4"/>
  <c r="I24" i="4"/>
  <c r="I21" i="4"/>
  <c r="I22" i="4"/>
  <c r="I23" i="4"/>
  <c r="K24" i="4"/>
  <c r="K21" i="4"/>
  <c r="K23" i="4"/>
  <c r="K22" i="4"/>
  <c r="H24" i="4"/>
  <c r="H21" i="4"/>
  <c r="H22" i="4"/>
  <c r="H23" i="4"/>
  <c r="G24" i="4"/>
  <c r="G23" i="4"/>
  <c r="G21" i="4"/>
  <c r="G22" i="4"/>
  <c r="E22" i="4"/>
  <c r="E23" i="4"/>
  <c r="E24" i="4"/>
  <c r="E21" i="4"/>
  <c r="J24" i="4"/>
  <c r="M12" i="4"/>
  <c r="Q18" i="4"/>
  <c r="Q12" i="4"/>
  <c r="L18" i="4"/>
  <c r="L11" i="4"/>
  <c r="O18" i="4"/>
  <c r="R18" i="4"/>
  <c r="M18" i="4"/>
  <c r="P18" i="4"/>
  <c r="N18" i="4"/>
  <c r="Q17" i="4" l="1"/>
  <c r="Q25" i="4"/>
  <c r="R25" i="4"/>
  <c r="S25" i="4"/>
  <c r="L17" i="4"/>
  <c r="L25" i="4"/>
  <c r="N17" i="4"/>
  <c r="N25" i="4"/>
  <c r="P17" i="4"/>
  <c r="P25" i="4"/>
  <c r="M17" i="4"/>
  <c r="M25" i="4"/>
  <c r="O17" i="4"/>
  <c r="O25" i="4"/>
  <c r="M21" i="4"/>
  <c r="M22" i="4"/>
  <c r="M23" i="4"/>
  <c r="O23" i="4"/>
  <c r="O21" i="4"/>
  <c r="O22" i="4"/>
  <c r="P21" i="4"/>
  <c r="P22" i="4"/>
  <c r="P23" i="4"/>
  <c r="R19" i="4"/>
  <c r="R17" i="4" s="1"/>
  <c r="R22" i="4"/>
  <c r="R23" i="4"/>
  <c r="R21" i="4"/>
  <c r="L24" i="4"/>
  <c r="L21" i="4"/>
  <c r="L22" i="4"/>
  <c r="L23" i="4"/>
  <c r="N22" i="4"/>
  <c r="N23" i="4"/>
  <c r="N21" i="4"/>
  <c r="O37" i="4"/>
  <c r="Q21" i="4"/>
  <c r="Q22" i="4"/>
  <c r="Q23" i="4"/>
  <c r="M24" i="4"/>
  <c r="Q24" i="4"/>
  <c r="Q34" i="4"/>
  <c r="O24" i="4"/>
  <c r="N24" i="4"/>
  <c r="P24" i="4"/>
  <c r="R27" i="4"/>
  <c r="R34" i="4" s="1"/>
  <c r="O38" i="4"/>
  <c r="W18" i="4"/>
  <c r="S24" i="4" l="1"/>
  <c r="R24" i="4"/>
  <c r="P38" i="4"/>
  <c r="P39" i="4"/>
</calcChain>
</file>

<file path=xl/sharedStrings.xml><?xml version="1.0" encoding="utf-8"?>
<sst xmlns="http://schemas.openxmlformats.org/spreadsheetml/2006/main" count="28369" uniqueCount="5169">
  <si>
    <t xml:space="preserve">Nom </t>
  </si>
  <si>
    <t>Prénom</t>
  </si>
  <si>
    <t>Adresse1</t>
  </si>
  <si>
    <t>Adresse2</t>
  </si>
  <si>
    <t>CP</t>
  </si>
  <si>
    <t>Pays</t>
  </si>
  <si>
    <t>langue</t>
  </si>
  <si>
    <t xml:space="preserve">tel </t>
  </si>
  <si>
    <t>fax</t>
  </si>
  <si>
    <t xml:space="preserve"> mail</t>
  </si>
  <si>
    <t>Butzbach</t>
  </si>
  <si>
    <t>Verena</t>
  </si>
  <si>
    <t>date arrivée</t>
  </si>
  <si>
    <t>Date départ</t>
  </si>
  <si>
    <t>Chiffre d'affaire</t>
  </si>
  <si>
    <t>Kust Schumacher Str 25</t>
  </si>
  <si>
    <t>Ville</t>
  </si>
  <si>
    <t>Detmold</t>
  </si>
  <si>
    <t>Allemagne</t>
  </si>
  <si>
    <t>fr</t>
  </si>
  <si>
    <t>00,49,5232,87941</t>
  </si>
  <si>
    <t>Mob</t>
  </si>
  <si>
    <t>t.doelma@gmx.de</t>
  </si>
  <si>
    <t>France</t>
  </si>
  <si>
    <t>Marc</t>
  </si>
  <si>
    <t>Kestler</t>
  </si>
  <si>
    <t>Uschi</t>
  </si>
  <si>
    <t>Albert Schweitzer str 18</t>
  </si>
  <si>
    <t>Worms</t>
  </si>
  <si>
    <t>00,49,171,4444255</t>
  </si>
  <si>
    <t>00,49,160,841,5342</t>
  </si>
  <si>
    <t xml:space="preserve">Licops </t>
  </si>
  <si>
    <t>Pierre</t>
  </si>
  <si>
    <t>6 quai Van Geert</t>
  </si>
  <si>
    <t>B-5500</t>
  </si>
  <si>
    <t>Dinant</t>
  </si>
  <si>
    <t>Belgique</t>
  </si>
  <si>
    <t>00,32,8,2222533</t>
  </si>
  <si>
    <t>Profession</t>
  </si>
  <si>
    <t>docteur</t>
  </si>
  <si>
    <t>Koen</t>
  </si>
  <si>
    <t>Moreels</t>
  </si>
  <si>
    <t>Paulwelstraat</t>
  </si>
  <si>
    <t>Geraardsbergen</t>
  </si>
  <si>
    <t>koen.moreels@pandora.be</t>
  </si>
  <si>
    <t xml:space="preserve">très bien </t>
  </si>
  <si>
    <t>téléphoneront pour l'année prochaine</t>
  </si>
  <si>
    <t>00,32,496,59,81,12</t>
  </si>
  <si>
    <t>Erich</t>
  </si>
  <si>
    <t>Am Hoehenblick 9A</t>
  </si>
  <si>
    <t>Hirzenhain</t>
  </si>
  <si>
    <t>all</t>
  </si>
  <si>
    <t>malade</t>
  </si>
  <si>
    <t>Chifflange</t>
  </si>
  <si>
    <t>Luxembourg</t>
  </si>
  <si>
    <t>00,352,54,24,57</t>
  </si>
  <si>
    <t>00,352,54,69,15</t>
  </si>
  <si>
    <t>00,352,091263,784</t>
  </si>
  <si>
    <t>leyray@pt.lu</t>
  </si>
  <si>
    <t>bien</t>
  </si>
  <si>
    <t>Leyder</t>
  </si>
  <si>
    <t>Raymond &amp; Yolande</t>
  </si>
  <si>
    <t>Hubert</t>
  </si>
  <si>
    <t>Erwan</t>
  </si>
  <si>
    <t>4 rue Jean Grandel</t>
  </si>
  <si>
    <t>Bry sur Marne</t>
  </si>
  <si>
    <t>06,60,59,07,02</t>
  </si>
  <si>
    <t>Divers</t>
  </si>
  <si>
    <t>Semaine</t>
  </si>
  <si>
    <t>Lambregts</t>
  </si>
  <si>
    <t>Arjen &amp; Joahnna</t>
  </si>
  <si>
    <t>In der Full 1</t>
  </si>
  <si>
    <t>Dreis</t>
  </si>
  <si>
    <t>00,49,6578,7077</t>
  </si>
  <si>
    <t>00,49,6578,7078</t>
  </si>
  <si>
    <t>hallole11@onlinehome.de</t>
  </si>
  <si>
    <t>ehmollbach@freenet.de</t>
  </si>
  <si>
    <t>Mollbach</t>
  </si>
  <si>
    <t>hannekelambregts@yahoo.de</t>
  </si>
  <si>
    <t>erwanhubert@free.fr</t>
  </si>
  <si>
    <t>rshbusch@t-online.de</t>
  </si>
  <si>
    <t>00,49,2207705201</t>
  </si>
  <si>
    <t>michel.lemoine@teledisnet.be</t>
  </si>
  <si>
    <t xml:space="preserve">Voie collette 93  </t>
  </si>
  <si>
    <t>B- 4877</t>
  </si>
  <si>
    <t>Olne</t>
  </si>
  <si>
    <t xml:space="preserve">Michel </t>
  </si>
  <si>
    <t>Lemoine</t>
  </si>
  <si>
    <t>Taconnet</t>
  </si>
  <si>
    <t>26 rue Paul Bert</t>
  </si>
  <si>
    <t>Natalie</t>
  </si>
  <si>
    <t>CLAMART</t>
  </si>
  <si>
    <t>natalie.taconet@unep.fr</t>
  </si>
  <si>
    <t xml:space="preserve"> 1, avenue Pablo Neruda</t>
  </si>
  <si>
    <t>Bonneuil-sur-Marne</t>
  </si>
  <si>
    <t>Gaëlle</t>
  </si>
  <si>
    <t>06 82 88 48 44</t>
  </si>
  <si>
    <t>Fredal</t>
  </si>
  <si>
    <t>Frédéric</t>
  </si>
  <si>
    <t>Nicolas</t>
  </si>
  <si>
    <t>Willoughby</t>
  </si>
  <si>
    <t>Joël</t>
  </si>
  <si>
    <t>Anton</t>
  </si>
  <si>
    <t>Paris</t>
  </si>
  <si>
    <t>Nb Personnes</t>
  </si>
  <si>
    <t>chien</t>
  </si>
  <si>
    <t>René</t>
  </si>
  <si>
    <t>06.71.04.27.39</t>
  </si>
  <si>
    <t>7 rue Jeanne d'Arc</t>
  </si>
  <si>
    <t>Le Bau Saint Martin</t>
  </si>
  <si>
    <t>03.87.31.95.67</t>
  </si>
  <si>
    <t>RAFBSM@wanadoo.fr</t>
  </si>
  <si>
    <t>00.32.497556266</t>
  </si>
  <si>
    <t>01.41.08.04.72</t>
  </si>
  <si>
    <t>6/7p</t>
  </si>
  <si>
    <t>chaise bébé</t>
  </si>
  <si>
    <t>Francis</t>
  </si>
  <si>
    <t>Duchain</t>
  </si>
  <si>
    <t>13 allée des prés</t>
  </si>
  <si>
    <t>Brigade 3</t>
  </si>
  <si>
    <t>Villeneuve d'Asq</t>
  </si>
  <si>
    <t>03.20.91.03.46</t>
  </si>
  <si>
    <t>06.87.10.30.31</t>
  </si>
  <si>
    <t>4/6p</t>
  </si>
  <si>
    <t>kfduhem@hotmail.com</t>
  </si>
  <si>
    <t>glyn@free.fr</t>
  </si>
  <si>
    <t>Tom &amp; Ulrike</t>
  </si>
  <si>
    <t>Fischbacher Weg 6</t>
  </si>
  <si>
    <t>D-65719</t>
  </si>
  <si>
    <t>Hofheim</t>
  </si>
  <si>
    <t>00.49.6169.900196</t>
  </si>
  <si>
    <t>00.49.172.213.8610</t>
  </si>
  <si>
    <t>willoughby@t-online.de</t>
  </si>
  <si>
    <t>Hans</t>
  </si>
  <si>
    <t>Grimberg</t>
  </si>
  <si>
    <t>Busch 2</t>
  </si>
  <si>
    <t>D-51519</t>
  </si>
  <si>
    <t>Odenthal</t>
  </si>
  <si>
    <t>00.352.59.34.04</t>
  </si>
  <si>
    <t>7 rue JF Kennedy</t>
  </si>
  <si>
    <t>L-4464</t>
  </si>
  <si>
    <t>Soleuvre</t>
  </si>
  <si>
    <t>nanton@pt.lu</t>
  </si>
  <si>
    <t>01.44.37.14.23 (ligne directe)</t>
  </si>
  <si>
    <t>Ursula</t>
  </si>
  <si>
    <t>uschihihler@web.de</t>
  </si>
  <si>
    <t>Hihler</t>
  </si>
  <si>
    <t>mlicops@hotmail.com</t>
  </si>
  <si>
    <t>Dars Berger Str. 14</t>
  </si>
  <si>
    <t>D-69239</t>
  </si>
  <si>
    <t>Neckarsteinach</t>
  </si>
  <si>
    <t>00,49,162,52388865</t>
  </si>
  <si>
    <t>Garcia-Schmidt</t>
  </si>
  <si>
    <t xml:space="preserve">Carmen </t>
  </si>
  <si>
    <t>Danemark</t>
  </si>
  <si>
    <t>carmen@schmidt.mail.dk</t>
  </si>
  <si>
    <t>4 + autres ensuite</t>
  </si>
  <si>
    <t>Sascha</t>
  </si>
  <si>
    <t>Buchmüller</t>
  </si>
  <si>
    <t>Sterhanien str 23</t>
  </si>
  <si>
    <t>D-76430</t>
  </si>
  <si>
    <t>Baden-Baden</t>
  </si>
  <si>
    <t>0049.160.307667</t>
  </si>
  <si>
    <t>sbuchmueller@gmx.de</t>
  </si>
  <si>
    <t>5 ou 6 + bébé</t>
  </si>
  <si>
    <t>Vester Alle 11</t>
  </si>
  <si>
    <t>Hobro</t>
  </si>
  <si>
    <t>00.45.98.51.22.03</t>
  </si>
  <si>
    <t>Suisse</t>
  </si>
  <si>
    <t>Casellini</t>
  </si>
  <si>
    <t>Raymond</t>
  </si>
  <si>
    <t xml:space="preserve">CH - 1608 </t>
  </si>
  <si>
    <t>Bussigny s/Oron</t>
  </si>
  <si>
    <t>casel@bluewin.ch</t>
  </si>
  <si>
    <t>kiki.tipunch@wanadoo.fr</t>
  </si>
  <si>
    <t>75, rue du moulin</t>
  </si>
  <si>
    <t>Le Moine</t>
  </si>
  <si>
    <t xml:space="preserve">Jean </t>
  </si>
  <si>
    <t xml:space="preserve"> VILLEBAROU</t>
  </si>
  <si>
    <t>adultes</t>
  </si>
  <si>
    <t>gb</t>
  </si>
  <si>
    <t xml:space="preserve">Neetenbeek </t>
  </si>
  <si>
    <t>Andreas</t>
  </si>
  <si>
    <t>neetenbeek@imail.de</t>
  </si>
  <si>
    <t>00,49,21,37,79,96,01</t>
  </si>
  <si>
    <t>00,49,177,23,33,184</t>
  </si>
  <si>
    <t>Am Lindbruch 103</t>
  </si>
  <si>
    <t>Neuss</t>
  </si>
  <si>
    <t>Peggy</t>
  </si>
  <si>
    <t>Kapelstraat, 6</t>
  </si>
  <si>
    <t>Dilbeek</t>
  </si>
  <si>
    <t>pn44905@GlaxoWellcome.co.uk</t>
  </si>
  <si>
    <t>6 (1 bébé)</t>
  </si>
  <si>
    <t>Carmen Bilau-Lehre &amp; Jürgen Lehre</t>
  </si>
  <si>
    <t>Würzburger Straße 91</t>
  </si>
  <si>
    <t xml:space="preserve">D-63517 </t>
  </si>
  <si>
    <t>Rodenbach</t>
  </si>
  <si>
    <t>carmen.bilau-lehre@gmx.de</t>
  </si>
  <si>
    <t>torr@worldonline.co.uk</t>
  </si>
  <si>
    <t>2p</t>
  </si>
  <si>
    <t>3 allée des merles</t>
  </si>
  <si>
    <t>Parpaillon</t>
  </si>
  <si>
    <t>Denis</t>
  </si>
  <si>
    <t>Minel</t>
  </si>
  <si>
    <t>Domaine de l'Epinay - Avenue Mathilde</t>
  </si>
  <si>
    <t>Forges les Eaux</t>
  </si>
  <si>
    <t>06.08.85.29.99</t>
  </si>
  <si>
    <t>denis.menel@laposte.net</t>
  </si>
  <si>
    <t>Steven</t>
  </si>
  <si>
    <t>Torr</t>
  </si>
  <si>
    <t>40 the Parks</t>
  </si>
  <si>
    <t>Shrewsbury SY1 4TJ</t>
  </si>
  <si>
    <t>Grande Bretagne</t>
  </si>
  <si>
    <t xml:space="preserve">Eric </t>
  </si>
  <si>
    <t>14 chemin du parc</t>
  </si>
  <si>
    <t>Leudoville</t>
  </si>
  <si>
    <t>06.85.40.22.20</t>
  </si>
  <si>
    <t>Audet</t>
  </si>
  <si>
    <t>audet@tiscali.fr</t>
  </si>
  <si>
    <t>Severine</t>
  </si>
  <si>
    <t>Parayre</t>
  </si>
  <si>
    <t>11 rue Charcot</t>
  </si>
  <si>
    <t>Neuily/seine</t>
  </si>
  <si>
    <t>01.46.37.27.43</t>
  </si>
  <si>
    <t>06.68.72.58.98</t>
  </si>
  <si>
    <t>sparayre@free.fr</t>
  </si>
  <si>
    <t>00.32.2.569.42.62</t>
  </si>
  <si>
    <t>00.32.496.69.05.84</t>
  </si>
  <si>
    <t>Pascal</t>
  </si>
  <si>
    <t>Draveil</t>
  </si>
  <si>
    <t>01.69.03.94.83</t>
  </si>
  <si>
    <t>Ahrres</t>
  </si>
  <si>
    <t>ok</t>
  </si>
  <si>
    <t>00,49,06184-54096</t>
  </si>
  <si>
    <t>2005 - Cléder</t>
  </si>
  <si>
    <t>Artemisstrasse 34</t>
  </si>
  <si>
    <t>0049 30 4111470</t>
  </si>
  <si>
    <t>jhugow@snafu.de</t>
  </si>
  <si>
    <t xml:space="preserve">D-13469 </t>
  </si>
  <si>
    <t>Berlin</t>
  </si>
  <si>
    <t xml:space="preserve">Madame Jutta </t>
  </si>
  <si>
    <t>Hugow</t>
  </si>
  <si>
    <t>Pennetier</t>
  </si>
  <si>
    <t>adl.fontaine@brutele.be</t>
  </si>
  <si>
    <t>De Vuyst/Nameche</t>
  </si>
  <si>
    <t>00,49,173,6202030</t>
  </si>
  <si>
    <t>Daussin-Charpentier</t>
  </si>
  <si>
    <t>Saint Etienne</t>
  </si>
  <si>
    <t>04,77,33,47,41</t>
  </si>
  <si>
    <t>06,22,97,51,08/06,71,84,02,10</t>
  </si>
  <si>
    <t>nikolerdc@wanadoo.fr</t>
  </si>
  <si>
    <t>6 rue Elisée Reclus</t>
  </si>
  <si>
    <t>Bartel</t>
  </si>
  <si>
    <t>Waldestrasse 7</t>
  </si>
  <si>
    <t>Neustadt-Wied</t>
  </si>
  <si>
    <t>00,49,172,92,77,596</t>
  </si>
  <si>
    <t>Peter</t>
  </si>
  <si>
    <t>0049 2683 / 93 92 97</t>
  </si>
  <si>
    <t>0049 2683 / 93 92 98</t>
  </si>
  <si>
    <t>convento@t-online.de</t>
  </si>
  <si>
    <t>Dewasme</t>
  </si>
  <si>
    <t>marc.dewasme@wanadoo.fr</t>
  </si>
  <si>
    <t>sandra.smith62@btinternet.com</t>
  </si>
  <si>
    <t>smith</t>
  </si>
  <si>
    <t>Sandra</t>
  </si>
  <si>
    <t>Heuze</t>
  </si>
  <si>
    <t>Didier</t>
  </si>
  <si>
    <t>didier.heuze@ms.hutchinson.fr</t>
  </si>
  <si>
    <t xml:space="preserve">Rolf und Gudrun </t>
  </si>
  <si>
    <t>Hilden</t>
  </si>
  <si>
    <t>G.R.Hilden@t-online.de</t>
  </si>
  <si>
    <t>ne parle pas fr/gb</t>
  </si>
  <si>
    <t>Goetz</t>
  </si>
  <si>
    <t>Aurélie</t>
  </si>
  <si>
    <t>03 81 93 40 48</t>
  </si>
  <si>
    <t>agoetz@voila.fr</t>
  </si>
  <si>
    <t>Alain</t>
  </si>
  <si>
    <t>Pollet</t>
  </si>
  <si>
    <t>marie-noelle.Vie@wanadoo.fr</t>
  </si>
  <si>
    <t>02,40,83,13,39</t>
  </si>
  <si>
    <t>Bandon</t>
  </si>
  <si>
    <t>06.09.26.71.65</t>
  </si>
  <si>
    <t>afbandon@voila.fr</t>
  </si>
  <si>
    <t>Paul</t>
  </si>
  <si>
    <t>Dowson</t>
  </si>
  <si>
    <t>Paul@dawsonnet.org</t>
  </si>
  <si>
    <t>Pfostenberg@aol.com</t>
  </si>
  <si>
    <t>Alwin und Gerdi Potz</t>
  </si>
  <si>
    <t>Weidenhalde 11</t>
  </si>
  <si>
    <t>Ebersbach</t>
  </si>
  <si>
    <t>Anke Hillebrandt und Peter Gribitsch</t>
  </si>
  <si>
    <t>Biekenstrasse 2</t>
  </si>
  <si>
    <t>Riegelsberg</t>
  </si>
  <si>
    <t>anke.hillebrandt@tiscali.de</t>
  </si>
  <si>
    <t>06806/46546</t>
  </si>
  <si>
    <t>0178/8532210</t>
  </si>
  <si>
    <t>00,44,1256818620</t>
  </si>
  <si>
    <t>Robert</t>
  </si>
  <si>
    <t>Millet</t>
  </si>
  <si>
    <t>16 rue Pascal</t>
  </si>
  <si>
    <t>Villerupt</t>
  </si>
  <si>
    <t>03,82,89,47,51</t>
  </si>
  <si>
    <t>amillet7@wanadoo.fr</t>
  </si>
  <si>
    <t>Albert</t>
  </si>
  <si>
    <t>Brigitte</t>
  </si>
  <si>
    <t>Wegwart</t>
  </si>
  <si>
    <t>Richard Wagner str. 30</t>
  </si>
  <si>
    <t>Heddesheim</t>
  </si>
  <si>
    <t>00,49,62,031,44650</t>
  </si>
  <si>
    <t>00,49,62,01,507832</t>
  </si>
  <si>
    <t>wegwart@web.de</t>
  </si>
  <si>
    <t>fax reçu</t>
  </si>
  <si>
    <t>va faxer cette semaine + arrhre</t>
  </si>
  <si>
    <t>compte donné</t>
  </si>
  <si>
    <t>2 rue des Obeaux</t>
  </si>
  <si>
    <t>Radinghem</t>
  </si>
  <si>
    <t>06.80.51.30.90</t>
  </si>
  <si>
    <t>4 ou 5</t>
  </si>
  <si>
    <t>7 résidence de la fontaine</t>
  </si>
  <si>
    <t>Herchies</t>
  </si>
  <si>
    <t>Ramsdorter Hoff 1</t>
  </si>
  <si>
    <t>Velen</t>
  </si>
  <si>
    <t>0049.1715351543</t>
  </si>
  <si>
    <t>0049.2863.6925</t>
  </si>
  <si>
    <t>43 Ch. De la Chapelle de Souffrance</t>
  </si>
  <si>
    <t>Chelles</t>
  </si>
  <si>
    <t>6 bis rue du bout dessous</t>
  </si>
  <si>
    <t>Gemonval</t>
  </si>
  <si>
    <t>Manuela</t>
  </si>
  <si>
    <t>Leuwer</t>
  </si>
  <si>
    <t>Gerberweg 45</t>
  </si>
  <si>
    <t>Prüm</t>
  </si>
  <si>
    <t>00.49.065519819399</t>
  </si>
  <si>
    <t>manuelakill@gmx.de</t>
  </si>
  <si>
    <t>8 Balhiol RD</t>
  </si>
  <si>
    <t>Caversham</t>
  </si>
  <si>
    <t>00.44.11189475912</t>
  </si>
  <si>
    <t>153 rue des Tonneliers</t>
  </si>
  <si>
    <t>Ancenis</t>
  </si>
  <si>
    <t>4 (1 bébé)</t>
  </si>
  <si>
    <t>54 hill view road</t>
  </si>
  <si>
    <t>Basingstoke</t>
  </si>
  <si>
    <t>lombard.ch@alicemail.fr</t>
  </si>
  <si>
    <t>Lombard</t>
  </si>
  <si>
    <t>Christophe</t>
  </si>
  <si>
    <t>Joêl</t>
  </si>
  <si>
    <t>NAVLET</t>
  </si>
  <si>
    <t>Rodrigue</t>
  </si>
  <si>
    <t>252 rue de Differdange,</t>
  </si>
  <si>
    <t xml:space="preserve"> L-4438 </t>
  </si>
  <si>
    <t xml:space="preserve">Soleuvre </t>
  </si>
  <si>
    <t>00352 26 59 15 15</t>
  </si>
  <si>
    <t>rodriguenavlet@hotmail.com</t>
  </si>
  <si>
    <t>1 bébé</t>
  </si>
  <si>
    <t>marcmaki@netplus.ch</t>
  </si>
  <si>
    <t>Mayoraz</t>
  </si>
  <si>
    <t>Marc-Henri</t>
  </si>
  <si>
    <t>Gérard</t>
  </si>
  <si>
    <t>01 45 97 06 90</t>
  </si>
  <si>
    <t>gerdenis@wanadoo.fr</t>
  </si>
  <si>
    <t>le mans</t>
  </si>
  <si>
    <t>2008 - Cléder</t>
  </si>
  <si>
    <t>Smith</t>
  </si>
  <si>
    <t>John Morgan</t>
  </si>
  <si>
    <t>00 47 90557512</t>
  </si>
  <si>
    <t>Norvège</t>
  </si>
  <si>
    <t>jms001@lyse.net</t>
  </si>
  <si>
    <t>Hundvåg</t>
  </si>
  <si>
    <t>00-47-52981577</t>
  </si>
  <si>
    <t>Øvre Vågen 6C</t>
  </si>
  <si>
    <t>Arrivée</t>
  </si>
  <si>
    <t>Départ</t>
  </si>
  <si>
    <t>Reinhardt Heike &amp; Vettori Ivo</t>
  </si>
  <si>
    <t>Teichstrasse 2</t>
  </si>
  <si>
    <t>D-99887</t>
  </si>
  <si>
    <t>00,49,1736969929</t>
  </si>
  <si>
    <t>reinhardt@osw-eschbach.de</t>
  </si>
  <si>
    <t>Cornu</t>
  </si>
  <si>
    <t>Sébastien</t>
  </si>
  <si>
    <t>Chemin Maening</t>
  </si>
  <si>
    <t>Arzier</t>
  </si>
  <si>
    <t>00,41,22,366,0332</t>
  </si>
  <si>
    <t>sebastien.cornu@bluewin.ch</t>
  </si>
  <si>
    <t>Degroote</t>
  </si>
  <si>
    <t>205 rue Diderot</t>
  </si>
  <si>
    <t>Vincennes</t>
  </si>
  <si>
    <t>01,43,74,11,92</t>
  </si>
  <si>
    <t>06,20,81,47,28</t>
  </si>
  <si>
    <t>Fabrice</t>
  </si>
  <si>
    <t>Canevet</t>
  </si>
  <si>
    <t>139 rue du Gal de Gaulle</t>
  </si>
  <si>
    <t>Marc en Barouel</t>
  </si>
  <si>
    <t>03,20,96,39,99</t>
  </si>
  <si>
    <t>docteurc@tele2.fr</t>
  </si>
  <si>
    <t>C.</t>
  </si>
  <si>
    <t>Wallner</t>
  </si>
  <si>
    <t>Michael</t>
  </si>
  <si>
    <t>Schillerstrasse 3</t>
  </si>
  <si>
    <t>Eschwege</t>
  </si>
  <si>
    <t>00,49,05651,339330</t>
  </si>
  <si>
    <t>00,49,0171,431,92,74</t>
  </si>
  <si>
    <t>wallnergmbh@t-online.de</t>
  </si>
  <si>
    <t>denis.minel@laposte.net</t>
  </si>
  <si>
    <t>060885,29,99</t>
  </si>
  <si>
    <t>02,35,90,96,14</t>
  </si>
  <si>
    <t>Schweitzer</t>
  </si>
  <si>
    <t>Beate</t>
  </si>
  <si>
    <t>Birkenweg 35</t>
  </si>
  <si>
    <t>Wettenberg</t>
  </si>
  <si>
    <t>BeateSchweitzer@hotmail.com</t>
  </si>
  <si>
    <t>0049-419805700  &amp; 0049-1718116298</t>
  </si>
  <si>
    <t>14 rue de la Borne</t>
  </si>
  <si>
    <t>01 34 87 93 67</t>
  </si>
  <si>
    <t>ap.bachelet@aliceadsl.fr</t>
  </si>
  <si>
    <t>06 07 58 58 50</t>
  </si>
  <si>
    <t>Bachelet</t>
  </si>
  <si>
    <t>Pax</t>
  </si>
  <si>
    <t>Sem</t>
  </si>
  <si>
    <t>CA</t>
  </si>
  <si>
    <t>draps fournis</t>
  </si>
  <si>
    <t>10 avenue Mathilde</t>
  </si>
  <si>
    <t>Forges les eaux</t>
  </si>
  <si>
    <t>fille 2 ans 1/2</t>
  </si>
  <si>
    <t xml:space="preserve">Carpintero </t>
  </si>
  <si>
    <t>es</t>
  </si>
  <si>
    <t>Carlos</t>
  </si>
  <si>
    <t>Cami  des Trujol 22</t>
  </si>
  <si>
    <t>00,34,629,126764</t>
  </si>
  <si>
    <t>00,34,93,750,92,95</t>
  </si>
  <si>
    <t>Espagne</t>
  </si>
  <si>
    <t>Batard</t>
  </si>
  <si>
    <t>Marcel</t>
  </si>
  <si>
    <t>10 rue jean touchard</t>
  </si>
  <si>
    <t>Songeons</t>
  </si>
  <si>
    <t>coccinelle60@gmail.com</t>
  </si>
  <si>
    <t>03,44,82,30,26</t>
  </si>
  <si>
    <t>06,30,37,52,42</t>
  </si>
  <si>
    <t>nadja.scaglione@bluewin.ch</t>
  </si>
  <si>
    <t>Nadja</t>
  </si>
  <si>
    <t>Scaglione</t>
  </si>
  <si>
    <t>ne pas toucher les ahrres</t>
  </si>
  <si>
    <t>Mattenweg 11</t>
  </si>
  <si>
    <t>Suhr AG</t>
  </si>
  <si>
    <t>00,41,0793,305138</t>
  </si>
  <si>
    <t>Binz</t>
  </si>
  <si>
    <t>peter.binz@arcor.de</t>
  </si>
  <si>
    <t>Mangold</t>
  </si>
  <si>
    <t xml:space="preserve">Jacqueline und Thomas </t>
  </si>
  <si>
    <t>mangold.lth@arcor.de</t>
  </si>
  <si>
    <t>00,49,7219473821</t>
  </si>
  <si>
    <t>chien boxer, draps inclus</t>
  </si>
  <si>
    <t>Karlsruhe</t>
  </si>
  <si>
    <t>Horfstrasse 4</t>
  </si>
  <si>
    <t>Dr. Gyalog</t>
  </si>
  <si>
    <t>Tibor</t>
  </si>
  <si>
    <t>Swiss Nanoscience Institute Basel, Klingelbergstrasse 82</t>
  </si>
  <si>
    <t>Basel</t>
  </si>
  <si>
    <t xml:space="preserve">CH-4056  </t>
  </si>
  <si>
    <t>++41 61 267 14 72</t>
  </si>
  <si>
    <t>++41 61 267 14 61</t>
  </si>
  <si>
    <t>++41 79 814 79 45</t>
  </si>
  <si>
    <t xml:space="preserve">Tibor.Gyalog@unibas.ch </t>
  </si>
  <si>
    <t>CA - 2008</t>
  </si>
  <si>
    <t>semaines</t>
  </si>
  <si>
    <t>Prêt</t>
  </si>
  <si>
    <t>Resultat</t>
  </si>
  <si>
    <t>Revenu mensuel</t>
  </si>
  <si>
    <t>2007-Cléder</t>
  </si>
  <si>
    <t>Janine Keller</t>
  </si>
  <si>
    <t>janine@felix-weber.com</t>
  </si>
  <si>
    <t>CA - 2009</t>
  </si>
  <si>
    <t>2009 - Cléder</t>
  </si>
  <si>
    <t>vanheule.xavier@neuf.fr</t>
  </si>
  <si>
    <t>Xavier</t>
  </si>
  <si>
    <t>Vanheule</t>
  </si>
  <si>
    <t>04,74,20,21,95</t>
  </si>
  <si>
    <t>04,74,20,91,06ou8</t>
  </si>
  <si>
    <t>Schlereth</t>
  </si>
  <si>
    <t>Anton-Meindl-Str. 10a</t>
  </si>
  <si>
    <t>München</t>
  </si>
  <si>
    <t>0049 89 86399158</t>
  </si>
  <si>
    <t>0172/9862991</t>
  </si>
  <si>
    <t>friederike.schlereth@arcor.de</t>
  </si>
  <si>
    <t>enfants 2 et 6 ans</t>
  </si>
  <si>
    <t>Freiderike &amp; Thomas Köberlein</t>
  </si>
  <si>
    <t>pepin@ensea.fr</t>
  </si>
  <si>
    <t>Milleville</t>
  </si>
  <si>
    <t>Bernard</t>
  </si>
  <si>
    <t xml:space="preserve">1 allée de Franche Comté  </t>
  </si>
  <si>
    <t>LE PLESSIS BOUCHARD</t>
  </si>
  <si>
    <t>01 34 14 07 40</t>
  </si>
  <si>
    <t>06 76 95 56 04</t>
  </si>
  <si>
    <t>bemilleville [bemilleville@wanadoo.fr]</t>
  </si>
  <si>
    <t>Derr</t>
  </si>
  <si>
    <t xml:space="preserve">Andrea und Hinrich </t>
  </si>
  <si>
    <t>Hinrich und Andrea Derr [hinrich.derr1@ewetel.net]</t>
  </si>
  <si>
    <t>Achter't Verlaat 18</t>
  </si>
  <si>
    <t>Dollart</t>
  </si>
  <si>
    <t>00,49,4959,915119</t>
  </si>
  <si>
    <t>enfant 2,2,5,7</t>
  </si>
  <si>
    <t>Meyer-Lüters</t>
  </si>
  <si>
    <t xml:space="preserve">Birgit </t>
  </si>
  <si>
    <t>b.meyer-lueters@videx.de</t>
  </si>
  <si>
    <t>enfants 13,11,8</t>
  </si>
  <si>
    <t>Pépin</t>
  </si>
  <si>
    <t>1 rue Camille Claudel</t>
  </si>
  <si>
    <t>Buchelay</t>
  </si>
  <si>
    <t>01,30,92,29,73</t>
  </si>
  <si>
    <t>06,10,02,59,53</t>
  </si>
  <si>
    <t>1 chat</t>
  </si>
  <si>
    <t>Lenk</t>
  </si>
  <si>
    <t>Sabine</t>
  </si>
  <si>
    <t>bière et cidre</t>
  </si>
  <si>
    <t>sabine.lenk@mri-online.de</t>
  </si>
  <si>
    <t>mascha@blatow.de</t>
  </si>
  <si>
    <t>Blatow</t>
  </si>
  <si>
    <t>Macha</t>
  </si>
  <si>
    <t>1 bébé 9 mois</t>
  </si>
  <si>
    <t>49-6221-455837</t>
  </si>
  <si>
    <t>Tigani</t>
  </si>
  <si>
    <t>Leonardo</t>
  </si>
  <si>
    <t>45 rue de Breteuil</t>
  </si>
  <si>
    <t>Médan</t>
  </si>
  <si>
    <t>01,39,75,23,65</t>
  </si>
  <si>
    <t>06,70,65,81,44</t>
  </si>
  <si>
    <t>mic.ti@orange.fr</t>
  </si>
  <si>
    <t>5 adultes+1 chien</t>
  </si>
  <si>
    <t>Müller</t>
  </si>
  <si>
    <t>Claudia</t>
  </si>
  <si>
    <t>Hauptstr. 1</t>
  </si>
  <si>
    <t>Gondenbrett</t>
  </si>
  <si>
    <t>00,49,170,3469673</t>
  </si>
  <si>
    <t>wunderhorn@t-online.de</t>
  </si>
  <si>
    <t>00,49,5441592241</t>
  </si>
  <si>
    <t>enfant 16,16,7</t>
  </si>
  <si>
    <t>Haumühlestrasse 74, , Suisse</t>
  </si>
  <si>
    <t>martin.iris@bluewin.ch</t>
  </si>
  <si>
    <t>Schmid</t>
  </si>
  <si>
    <t>Martin</t>
  </si>
  <si>
    <t xml:space="preserve">0041 79 676 91 30 </t>
  </si>
  <si>
    <t xml:space="preserve">0041 44 865 39 72   </t>
  </si>
  <si>
    <t>Fischer-Scholten</t>
  </si>
  <si>
    <t>7 Rue Haard</t>
  </si>
  <si>
    <t>Bettange-Mess</t>
  </si>
  <si>
    <t>00,352,371351</t>
  </si>
  <si>
    <t>00,352,691,22,11,22</t>
  </si>
  <si>
    <t>ascholte@pt.lu</t>
  </si>
  <si>
    <t xml:space="preserve">2+2enfants </t>
  </si>
  <si>
    <t>Gerberding</t>
  </si>
  <si>
    <t>Christina</t>
  </si>
  <si>
    <t>Höilbergstrasse 18</t>
  </si>
  <si>
    <t>Frankfurt</t>
  </si>
  <si>
    <t>00,49,69,512485</t>
  </si>
  <si>
    <t>00,49,160,846,89,79</t>
  </si>
  <si>
    <t>christina.gerberding@t-online.de</t>
  </si>
  <si>
    <t>Keller</t>
  </si>
  <si>
    <t>Janine</t>
  </si>
  <si>
    <t>Stolzestrasse 55</t>
  </si>
  <si>
    <t>Hannover</t>
  </si>
  <si>
    <t>00,49,175,484,95,97</t>
  </si>
  <si>
    <t>Boedecker</t>
  </si>
  <si>
    <t>Carsten</t>
  </si>
  <si>
    <t>Chrysanthemenstrasse 10</t>
  </si>
  <si>
    <t>00,49,2131,46,36,06</t>
  </si>
  <si>
    <t>enfants 11,8,5</t>
  </si>
  <si>
    <t>cboedecker@arcor.de</t>
  </si>
  <si>
    <t>Lang</t>
  </si>
  <si>
    <t>Hugo</t>
  </si>
  <si>
    <t>Im Gwidem 13</t>
  </si>
  <si>
    <t>Pfeffingen</t>
  </si>
  <si>
    <t>00,41,617,51,5661</t>
  </si>
  <si>
    <t>00,41,796544488</t>
  </si>
  <si>
    <t>hula1@intergga.ch</t>
  </si>
  <si>
    <t>2 couples</t>
  </si>
  <si>
    <t>Charges</t>
  </si>
  <si>
    <t>eau</t>
  </si>
  <si>
    <t>edf</t>
  </si>
  <si>
    <t>taxe foncière</t>
  </si>
  <si>
    <t>taxe habitation</t>
  </si>
  <si>
    <t>nathalia</t>
  </si>
  <si>
    <t>2010 - Cléder</t>
  </si>
  <si>
    <t>Edinge</t>
  </si>
  <si>
    <t xml:space="preserve">Stefanie </t>
  </si>
  <si>
    <t>0049-6123-5445</t>
  </si>
  <si>
    <t>4 adultes, 2 chiens</t>
  </si>
  <si>
    <t>Total Charges</t>
  </si>
  <si>
    <t>16 rue Molière</t>
  </si>
  <si>
    <t>CADIX</t>
  </si>
  <si>
    <t xml:space="preserve">Jean-Pierre </t>
  </si>
  <si>
    <t>COURBEVOIE</t>
  </si>
  <si>
    <t>01 43 34 08 56</t>
  </si>
  <si>
    <t>06 68 53 16 94</t>
  </si>
  <si>
    <t>enfant 11</t>
  </si>
  <si>
    <t>jeanpierre.cadix@gmail.com</t>
  </si>
  <si>
    <t>Rorbas</t>
  </si>
  <si>
    <t>Richter</t>
  </si>
  <si>
    <t>Bettina</t>
  </si>
  <si>
    <t>0049/9721/62188</t>
  </si>
  <si>
    <t>bettina.ri@t-online.de</t>
  </si>
  <si>
    <t>2 chiens</t>
  </si>
  <si>
    <t>1 chien</t>
  </si>
  <si>
    <t>Navlet</t>
  </si>
  <si>
    <t xml:space="preserve">Holnburger </t>
  </si>
  <si>
    <t>Jutta</t>
  </si>
  <si>
    <t>2 adultes, 2 chiens</t>
  </si>
  <si>
    <t>07255/719960</t>
  </si>
  <si>
    <t>07255/719965</t>
  </si>
  <si>
    <t>jutta.holnburger@gmx.de</t>
  </si>
  <si>
    <t>Moussie</t>
  </si>
  <si>
    <t>m.moussie@numericable.com</t>
  </si>
  <si>
    <t>04,63,65,52,41</t>
  </si>
  <si>
    <t>06,66,65,34,59</t>
  </si>
  <si>
    <t>1chien,2 enf 2 et 6ans</t>
  </si>
  <si>
    <t>Heimühle</t>
  </si>
  <si>
    <t xml:space="preserve">Jürgen </t>
  </si>
  <si>
    <t>heimuehle@t-online.de</t>
  </si>
  <si>
    <t>Feuerdornstr. 24</t>
  </si>
  <si>
    <t>Hamm</t>
  </si>
  <si>
    <t>D-59071</t>
  </si>
  <si>
    <t>00,49,2381880700</t>
  </si>
  <si>
    <t>stefanie_edinge@hotmail.com</t>
  </si>
  <si>
    <t>Bucher</t>
  </si>
  <si>
    <t>Roman</t>
  </si>
  <si>
    <t>romanbucher@tic.ch</t>
  </si>
  <si>
    <t>0041 76 341 80 75</t>
  </si>
  <si>
    <t xml:space="preserve">markus.kandels@web.de </t>
  </si>
  <si>
    <t>Kandels</t>
  </si>
  <si>
    <t>Markus</t>
  </si>
  <si>
    <t>3 enfants 7 - 9 -11</t>
  </si>
  <si>
    <t>4 jeunes 28-35 ans</t>
  </si>
  <si>
    <t>Horwerstrasse 36</t>
  </si>
  <si>
    <t>Luzern</t>
  </si>
  <si>
    <t>Ruethy</t>
  </si>
  <si>
    <t>Brunnweg 11</t>
  </si>
  <si>
    <t>CH-3203</t>
  </si>
  <si>
    <t>Muehleberg</t>
  </si>
  <si>
    <t>00,41,31,9711030</t>
  </si>
  <si>
    <t>00,41,78,7380692</t>
  </si>
  <si>
    <t>mruethy@bluewin.ch</t>
  </si>
  <si>
    <t>2 adultes, 1 chien</t>
  </si>
  <si>
    <t>Zemlianski</t>
  </si>
  <si>
    <t>Serguei</t>
  </si>
  <si>
    <t>Russie</t>
  </si>
  <si>
    <t>CA - 2010</t>
  </si>
  <si>
    <t>Preiss</t>
  </si>
  <si>
    <t>Dammbachweg 1a</t>
  </si>
  <si>
    <t>D-38387</t>
  </si>
  <si>
    <t>Söllingen</t>
  </si>
  <si>
    <t>00,49,53541449</t>
  </si>
  <si>
    <t>00,49,15771471433</t>
  </si>
  <si>
    <t>mp-preiss@googlemail.com</t>
  </si>
  <si>
    <t>Parlz</t>
  </si>
  <si>
    <t>Jörg</t>
  </si>
  <si>
    <t>Tannenstrasse 10</t>
  </si>
  <si>
    <t>D-82402</t>
  </si>
  <si>
    <t>Seeshaupt</t>
  </si>
  <si>
    <t>00,49,176,821,298,85</t>
  </si>
  <si>
    <t xml:space="preserve">joerg.parzl@mellinundmellin.de </t>
  </si>
  <si>
    <t>2 et 5 ans</t>
  </si>
  <si>
    <t>2 adultes, 2 enfants 2 et 4 ans + 1 chien</t>
  </si>
  <si>
    <t>A. Maisch &amp; B. Maier</t>
  </si>
  <si>
    <t>Anik</t>
  </si>
  <si>
    <t>Winklerhof - Hofstrasse 9</t>
  </si>
  <si>
    <t>Gaggenau</t>
  </si>
  <si>
    <t xml:space="preserve">D-76571 </t>
  </si>
  <si>
    <t>Winklerhof@t-online.de</t>
  </si>
  <si>
    <t>00,49,7225987251</t>
  </si>
  <si>
    <t>nathalia (2009)</t>
  </si>
  <si>
    <t>Seuss</t>
  </si>
  <si>
    <t xml:space="preserve">Bachstrasse 3 </t>
  </si>
  <si>
    <t>D-61350</t>
  </si>
  <si>
    <t>Bad Homburg v.d.H.</t>
  </si>
  <si>
    <t>00,49,171,6213398</t>
  </si>
  <si>
    <t>peter.seuss@googlemail.com</t>
  </si>
  <si>
    <t>4 adultes</t>
  </si>
  <si>
    <t>2011 - Cléder</t>
  </si>
  <si>
    <t>CA - 2011</t>
  </si>
  <si>
    <t>nathalia (2010)</t>
  </si>
  <si>
    <t>Von-Leoprechting-Straße 2 A</t>
  </si>
  <si>
    <t>Landsberg am Lech, Deutschland</t>
  </si>
  <si>
    <t xml:space="preserve">D-86899 </t>
  </si>
  <si>
    <t>Neubauer</t>
  </si>
  <si>
    <t>Stefan</t>
  </si>
  <si>
    <t>0819147720@t-online.de</t>
  </si>
  <si>
    <t>00,49, 176 96811527</t>
  </si>
  <si>
    <t>Chalard</t>
  </si>
  <si>
    <t>20 chemind de la Pradelle</t>
  </si>
  <si>
    <t>Chanonat</t>
  </si>
  <si>
    <t>04,73,87,04,26</t>
  </si>
  <si>
    <t>06,83,06,71,54</t>
  </si>
  <si>
    <t>pierre.chalard@univ-bpclermont.fr</t>
  </si>
  <si>
    <t>1 enfant de 20 mois</t>
  </si>
  <si>
    <t>Müller-Ramacci</t>
  </si>
  <si>
    <t>Thomas</t>
  </si>
  <si>
    <t>Oberalpstrasse 9</t>
  </si>
  <si>
    <t>Bassel</t>
  </si>
  <si>
    <t>00,41,61,302,05,21</t>
  </si>
  <si>
    <t>00,41,79,767,71,22</t>
  </si>
  <si>
    <t>emitom@datacomm.ch</t>
  </si>
  <si>
    <t>5p (12, 8 et 2)</t>
  </si>
  <si>
    <t>Guillot</t>
  </si>
  <si>
    <t>4 rue des acacias la Haye</t>
  </si>
  <si>
    <t>Saint Lubin de la Haye</t>
  </si>
  <si>
    <t>06,82,01,31,87</t>
  </si>
  <si>
    <t>gaelle7801@live.fr</t>
  </si>
  <si>
    <t>2 enfants 8 ans et 8 mois</t>
  </si>
  <si>
    <t>Philippe</t>
  </si>
  <si>
    <t>Saint Remy l'Honoré</t>
  </si>
  <si>
    <t>6 p 4 enfant 1 bébé</t>
  </si>
  <si>
    <t>Laubach</t>
  </si>
  <si>
    <t>Birgit und Hubert</t>
  </si>
  <si>
    <t>biggil@hotmail.de</t>
  </si>
  <si>
    <t>00,49,1726808882</t>
  </si>
  <si>
    <t>00,49,6818800720</t>
  </si>
  <si>
    <t>Saarbrücken</t>
  </si>
  <si>
    <t xml:space="preserve">Bergstraße 27 , </t>
  </si>
  <si>
    <t xml:space="preserve"> D-66130</t>
  </si>
  <si>
    <t>2p + 2 chiens</t>
  </si>
  <si>
    <t>Pasch</t>
  </si>
  <si>
    <t>Hohe Str. 29</t>
  </si>
  <si>
    <t>Düsseldorf</t>
  </si>
  <si>
    <t>YutaPasch.Design@t-online.de</t>
  </si>
  <si>
    <t>Schmitter</t>
  </si>
  <si>
    <t>Beat</t>
  </si>
  <si>
    <t xml:space="preserve">Vorderdorfstr. 17, </t>
  </si>
  <si>
    <t>Landschlacht</t>
  </si>
  <si>
    <t>00,41,796109509</t>
  </si>
  <si>
    <t>ebschmitter@bluewin.ch</t>
  </si>
  <si>
    <t>enfants 18 et 21 ans</t>
  </si>
  <si>
    <t>Schmitzberger</t>
  </si>
  <si>
    <t>Christiane</t>
  </si>
  <si>
    <t>christiane.schmitzberger@numericable.fr</t>
  </si>
  <si>
    <t>1 bis rue des loups</t>
  </si>
  <si>
    <t>Nancy</t>
  </si>
  <si>
    <t>03,83,36,58,49</t>
  </si>
  <si>
    <t>06,12,81,39,25</t>
  </si>
  <si>
    <t>4p adulte</t>
  </si>
  <si>
    <t>Movet</t>
  </si>
  <si>
    <t>Jean Pierre</t>
  </si>
  <si>
    <t>8 chemin de Boutry Frénais</t>
  </si>
  <si>
    <t>Sedan</t>
  </si>
  <si>
    <t>03,24,29,51,53</t>
  </si>
  <si>
    <t>06,98,67,31,38</t>
  </si>
  <si>
    <t>movet.jean-pierre@neuf.fr</t>
  </si>
  <si>
    <t>7p 3 enfants</t>
  </si>
  <si>
    <t>Steinhauer</t>
  </si>
  <si>
    <t>Franz &amp; Gabriele</t>
  </si>
  <si>
    <t>Bristenweg 11</t>
  </si>
  <si>
    <t>CH-4054</t>
  </si>
  <si>
    <t>0041,79,736,95,84</t>
  </si>
  <si>
    <t>00,41,61,261,30,11</t>
  </si>
  <si>
    <t>gabriele.steinhauer@swissonline.ch</t>
  </si>
  <si>
    <t>6p 2 chiens1090+1190</t>
  </si>
  <si>
    <t>Hieronimus</t>
  </si>
  <si>
    <t>ghieronimus@live.fr</t>
  </si>
  <si>
    <t>Rathfelder-Grimm</t>
  </si>
  <si>
    <t>Andreas &amp; Sylvia</t>
  </si>
  <si>
    <t>PanoramaStrasse 2</t>
  </si>
  <si>
    <t>D-75233</t>
  </si>
  <si>
    <t>Tiefenbroon-Mühlhausen</t>
  </si>
  <si>
    <t>andreas.grimm2@web.de</t>
  </si>
  <si>
    <t>00,49,7234,948982</t>
  </si>
  <si>
    <t>4p - 2 enfants 9 et 11ans - ménage pris</t>
  </si>
  <si>
    <t>00,49 211 131644</t>
  </si>
  <si>
    <t>sabine_jakob2004@yahoo.de</t>
  </si>
  <si>
    <t>Jakob</t>
  </si>
  <si>
    <t>2 enf 2 et 6ans</t>
  </si>
  <si>
    <t>helene.losfelt@dbmail.com</t>
  </si>
  <si>
    <t>Hélène</t>
  </si>
  <si>
    <t>Losfelt</t>
  </si>
  <si>
    <t>4p - 3 filles</t>
  </si>
  <si>
    <t>1290+1190</t>
  </si>
  <si>
    <t>Waldenburg</t>
  </si>
  <si>
    <t xml:space="preserve">Klosterweg 2, </t>
  </si>
  <si>
    <t xml:space="preserve">CH- 4437 </t>
  </si>
  <si>
    <t>Schlup</t>
  </si>
  <si>
    <t>nadja@schlup.net</t>
  </si>
  <si>
    <t>00,41,(0)797558976</t>
  </si>
  <si>
    <t>enfants : 8,6,4</t>
  </si>
  <si>
    <t>3p -ont annulé</t>
  </si>
  <si>
    <t>Conen</t>
  </si>
  <si>
    <t>Ditmar</t>
  </si>
  <si>
    <t>71 rue de Nancy</t>
  </si>
  <si>
    <t>Sarreguemine-Remelfg</t>
  </si>
  <si>
    <t>minaluni@yahoo.de</t>
  </si>
  <si>
    <t>Krauch</t>
  </si>
  <si>
    <t>guenterkrauch@web.de</t>
  </si>
  <si>
    <t>D-70806</t>
  </si>
  <si>
    <t>Kornwestheim</t>
  </si>
  <si>
    <t>00,49,07154/23854</t>
  </si>
  <si>
    <t>00,49,171,30,79866</t>
  </si>
  <si>
    <t>urlaub anbieter</t>
  </si>
  <si>
    <t>02 54 74 57 51</t>
  </si>
  <si>
    <t>Dupertuis</t>
  </si>
  <si>
    <t>Laure et Edgard</t>
  </si>
  <si>
    <t xml:space="preserve">18 Chemin en Cavuaz </t>
  </si>
  <si>
    <t>CH-1884</t>
  </si>
  <si>
    <t>Villars/Ollon</t>
  </si>
  <si>
    <t>00,41,24,495,41,78</t>
  </si>
  <si>
    <t>00,41,79,565,00,19</t>
  </si>
  <si>
    <t>ed@ip-worldcom.ch</t>
  </si>
  <si>
    <t>Schrödter</t>
  </si>
  <si>
    <t>Sybille</t>
  </si>
  <si>
    <t>Donnerstrasse 18</t>
  </si>
  <si>
    <t>D-22763</t>
  </si>
  <si>
    <t>Hambourg</t>
  </si>
  <si>
    <t>00,49,1732461804</t>
  </si>
  <si>
    <t>sybilleschroedter@gmx.de</t>
  </si>
  <si>
    <t>06 83 78 18 67</t>
  </si>
  <si>
    <t>0151-26847481</t>
  </si>
  <si>
    <t>Sander</t>
  </si>
  <si>
    <t>05,346,94,69,440</t>
  </si>
  <si>
    <t>0176,137,90,000</t>
  </si>
  <si>
    <t>3p - 8 ans 2 chiens</t>
  </si>
  <si>
    <t>Liebenburg</t>
  </si>
  <si>
    <t>m.sander@elektrobartels.de</t>
  </si>
  <si>
    <t>Charbonnier</t>
  </si>
  <si>
    <t xml:space="preserve">rue du Haut des Noix  </t>
  </si>
  <si>
    <t>PETITMAGNY</t>
  </si>
  <si>
    <t xml:space="preserve">03 84 26 19 88  </t>
  </si>
  <si>
    <t>06 07 99 26 06</t>
  </si>
  <si>
    <t>charbonnier.philippe@orange.fr</t>
  </si>
  <si>
    <t>4 adultes et 2 enfants</t>
  </si>
  <si>
    <t>Flamme</t>
  </si>
  <si>
    <t>armor vacances</t>
  </si>
  <si>
    <t>Fabrice.FLAMME@spw.wallonie.be</t>
  </si>
  <si>
    <t>2012 - Cléder</t>
  </si>
  <si>
    <t xml:space="preserve">Duchêne </t>
  </si>
  <si>
    <t>4 adultes, 2 enfants (bébé ?) armor vacances</t>
  </si>
  <si>
    <t>Markus &amp; Nadja</t>
  </si>
  <si>
    <t>Gunter &amp; Renée</t>
  </si>
  <si>
    <t>66 avenue Paul Cézanne</t>
  </si>
  <si>
    <t>Saint Laurent du Var</t>
  </si>
  <si>
    <t>04,89,22,63,63</t>
  </si>
  <si>
    <t>06,76,52,12,55</t>
  </si>
  <si>
    <t>site origine</t>
  </si>
  <si>
    <t>Date de réservation</t>
  </si>
  <si>
    <t>00,32,472970695</t>
  </si>
  <si>
    <t>jteichma@math.ethz.ch</t>
  </si>
  <si>
    <t>Joseph</t>
  </si>
  <si>
    <t>Teichmann</t>
  </si>
  <si>
    <t>CH-8006</t>
  </si>
  <si>
    <t>Zurich</t>
  </si>
  <si>
    <t>Schindlerstrasse 9</t>
  </si>
  <si>
    <t>00,41,79,584,55,40</t>
  </si>
  <si>
    <t>mathématicien</t>
  </si>
  <si>
    <t>Wiemar</t>
  </si>
  <si>
    <t>André</t>
  </si>
  <si>
    <t>65 cité charles de gaulle</t>
  </si>
  <si>
    <t>L-4951</t>
  </si>
  <si>
    <t>Bascharage</t>
  </si>
  <si>
    <t>00,352,621,643,155</t>
  </si>
  <si>
    <t>dede7@pt.lu</t>
  </si>
  <si>
    <t>2 enfants  2 ans et 6 mois</t>
  </si>
  <si>
    <t>In den Spitzen 3</t>
  </si>
  <si>
    <t>D-66780</t>
  </si>
  <si>
    <t>Rehligen-Siersburg</t>
  </si>
  <si>
    <t>Nadine</t>
  </si>
  <si>
    <t>Schuler</t>
  </si>
  <si>
    <t xml:space="preserve">nadine.schuler@uniklinikum-saarland.de  </t>
  </si>
  <si>
    <t>1 gros</t>
  </si>
  <si>
    <t>CA - 2012</t>
  </si>
  <si>
    <t>00,49,171,3220043</t>
  </si>
  <si>
    <t>00,49,6835601531</t>
  </si>
  <si>
    <t>2 ou 4 adultes</t>
  </si>
  <si>
    <t>youtube</t>
  </si>
  <si>
    <t>marcelfell@hotmail.de</t>
  </si>
  <si>
    <t>Fell</t>
  </si>
  <si>
    <t>Hamburg</t>
  </si>
  <si>
    <t>discount</t>
  </si>
  <si>
    <t>1190+1290</t>
  </si>
  <si>
    <t>s-demaret@wanadoo.fr</t>
  </si>
  <si>
    <t>site de cleder</t>
  </si>
  <si>
    <t>Demaret</t>
  </si>
  <si>
    <t>Serge</t>
  </si>
  <si>
    <t>Tilo</t>
  </si>
  <si>
    <t>Kalski</t>
  </si>
  <si>
    <t>Ernst Reuter-Ring 24</t>
  </si>
  <si>
    <t>D-26452</t>
  </si>
  <si>
    <t>Sande</t>
  </si>
  <si>
    <t>00,49,176,34737777</t>
  </si>
  <si>
    <t>tilo@gmx.de</t>
  </si>
  <si>
    <t>van Kaathoven</t>
  </si>
  <si>
    <t>parle français</t>
  </si>
  <si>
    <t>Pays Bas</t>
  </si>
  <si>
    <t>00,31,735,49,23,97</t>
  </si>
  <si>
    <t>00,31,612,50,63,12</t>
  </si>
  <si>
    <t>kaathoven@kpnmail.nl</t>
  </si>
  <si>
    <t>25 allée du couvent</t>
  </si>
  <si>
    <t>Auzebocs</t>
  </si>
  <si>
    <t>06,19,92,34,55</t>
  </si>
  <si>
    <t>02,35,96,07,16</t>
  </si>
  <si>
    <t>Froidure Bellec Brigitte</t>
  </si>
  <si>
    <t>Rebouh Salah Cherif</t>
  </si>
  <si>
    <t>Vouland Eric</t>
  </si>
  <si>
    <t>Texier Charles</t>
  </si>
  <si>
    <t>Talvas Vincent</t>
  </si>
  <si>
    <t>Said Nassur</t>
  </si>
  <si>
    <t>Requet Aline</t>
  </si>
  <si>
    <t>Poirier Colette</t>
  </si>
  <si>
    <t>Menard Nathalie</t>
  </si>
  <si>
    <t>Masson Fabienne</t>
  </si>
  <si>
    <t>Louet Olga</t>
  </si>
  <si>
    <t>Le Norcy Floriane</t>
  </si>
  <si>
    <t>Le Gall Amélie</t>
  </si>
  <si>
    <t>Knecht/Etienne Laurence</t>
  </si>
  <si>
    <t>Jouin Patiicia</t>
  </si>
  <si>
    <t>Marc Gillaux</t>
  </si>
  <si>
    <t>Gentil Adrienne</t>
  </si>
  <si>
    <t>Gauvin Nicolas</t>
  </si>
  <si>
    <t>Fremont Karen</t>
  </si>
  <si>
    <t>Deshoux Aude</t>
  </si>
  <si>
    <t>Dequippe Xavier</t>
  </si>
  <si>
    <t>Demorice Cécile</t>
  </si>
  <si>
    <t>Vincent Chamaret</t>
  </si>
  <si>
    <t>Cadiou Xavier</t>
  </si>
  <si>
    <t>Patrick Cadiou</t>
  </si>
  <si>
    <t>Bobard Elodie</t>
  </si>
  <si>
    <t>Armange Benoit</t>
  </si>
  <si>
    <t>Agius Françoise</t>
  </si>
  <si>
    <t>prime 2012</t>
  </si>
  <si>
    <t>prime 2011</t>
  </si>
  <si>
    <t>évolution 2012/2011</t>
  </si>
  <si>
    <t>salaire brut 2011</t>
  </si>
  <si>
    <t>salaire brut 2010</t>
  </si>
  <si>
    <t>Nom</t>
  </si>
  <si>
    <t>salaire brut 2012</t>
  </si>
  <si>
    <t>Salaire Annuel</t>
  </si>
  <si>
    <t>duchenenicola@yahoo.fr ; stephanie.leonard438@orange.fr</t>
  </si>
  <si>
    <t>00,49,4422,6290043</t>
  </si>
  <si>
    <t>eifelinfo@t-online.de</t>
  </si>
  <si>
    <t>Geisen</t>
  </si>
  <si>
    <t>Horst Peter</t>
  </si>
  <si>
    <t>Hunde-Urlaub.net</t>
  </si>
  <si>
    <t>Giese</t>
  </si>
  <si>
    <t>Jutta &amp; Ulrich</t>
  </si>
  <si>
    <t>In der Distelkuhle 77</t>
  </si>
  <si>
    <t>Essen</t>
  </si>
  <si>
    <t>00,49,201,865,9805</t>
  </si>
  <si>
    <t>00,49,170,637,4478 / 00,49,170,681,84,76</t>
  </si>
  <si>
    <t>ulrich.giese@t-online.de ; jutta.giese@t-online.de</t>
  </si>
  <si>
    <t>14-17ans</t>
  </si>
  <si>
    <t>Dansen</t>
  </si>
  <si>
    <t>Chantal</t>
  </si>
  <si>
    <t>suisse</t>
  </si>
  <si>
    <t>0049,176,48546927</t>
  </si>
  <si>
    <t>retour 2009</t>
  </si>
  <si>
    <t>Hans Ulrich Oswald</t>
  </si>
  <si>
    <t>Am Hirschberg 2</t>
  </si>
  <si>
    <t>Steinwenden</t>
  </si>
  <si>
    <t>hansulrichoswald@web.de</t>
  </si>
  <si>
    <t>Ferienhausmiete.de</t>
  </si>
  <si>
    <t>2013 - Cléder</t>
  </si>
  <si>
    <t>Weber</t>
  </si>
  <si>
    <t>Rike</t>
  </si>
  <si>
    <t>Mengen</t>
  </si>
  <si>
    <t>D-79227</t>
  </si>
  <si>
    <t>00,49,173,654,2806</t>
  </si>
  <si>
    <t>kerri1409@googlemail.com</t>
  </si>
  <si>
    <t>3 chiens inclus</t>
  </si>
  <si>
    <t>Schafeish 15 C</t>
  </si>
  <si>
    <t>Waeber</t>
  </si>
  <si>
    <t>Manuel</t>
  </si>
  <si>
    <t>Chemin des Jaïsses</t>
  </si>
  <si>
    <t>Eygalieres</t>
  </si>
  <si>
    <t>04,90,94,35,63</t>
  </si>
  <si>
    <t>06,79,58,79,88</t>
  </si>
  <si>
    <t>larmadio@wanadoo.fr</t>
  </si>
  <si>
    <t>chiens (combien ?)</t>
  </si>
  <si>
    <t>1 ou 2 chiens</t>
  </si>
  <si>
    <t>5 chiens !!!</t>
  </si>
  <si>
    <t>3 enf</t>
  </si>
  <si>
    <t>Frohloff</t>
  </si>
  <si>
    <t>Sally</t>
  </si>
  <si>
    <t>Steinstrasse 59A</t>
  </si>
  <si>
    <t>D-53859</t>
  </si>
  <si>
    <t>Niederkassel</t>
  </si>
  <si>
    <t>Allemange</t>
  </si>
  <si>
    <t>00,49,2208,759,735</t>
  </si>
  <si>
    <t>verdonharry@aol.com</t>
  </si>
  <si>
    <t>Cagin</t>
  </si>
  <si>
    <t>Grégory</t>
  </si>
  <si>
    <t>Auteuil</t>
  </si>
  <si>
    <t>france</t>
  </si>
  <si>
    <t>1 rue des Tilleul</t>
  </si>
  <si>
    <t>06,12,84,83,10</t>
  </si>
  <si>
    <t>01,34,94,75,66</t>
  </si>
  <si>
    <t>gregory.cagin@mpsa.com</t>
  </si>
  <si>
    <t>Roscoff - 2012</t>
  </si>
  <si>
    <t>Total CA 2012</t>
  </si>
  <si>
    <t>chantal.dasen@gmx.ch</t>
  </si>
  <si>
    <t>Semaines</t>
  </si>
  <si>
    <t>Cumul CA</t>
  </si>
  <si>
    <t>habituel</t>
  </si>
  <si>
    <t>00,49,178,14,20,109</t>
  </si>
  <si>
    <t>00,49,171,172,131,0</t>
  </si>
  <si>
    <t>ftp</t>
  </si>
  <si>
    <t>email</t>
  </si>
  <si>
    <t>rpbectp</t>
  </si>
  <si>
    <t>perso-ftp.orange.fr</t>
  </si>
  <si>
    <t>ftp login = xavier.cadiou@wanadoo.fr</t>
  </si>
  <si>
    <t>fti/4kkbc2v</t>
  </si>
  <si>
    <t>Boulay</t>
  </si>
  <si>
    <t>Patricia</t>
  </si>
  <si>
    <t>davidb39@hotmail.fr</t>
  </si>
  <si>
    <t>00,49,152,289,18822</t>
  </si>
  <si>
    <t>Müller-Teufel</t>
  </si>
  <si>
    <t>Perrignyweg 2a</t>
  </si>
  <si>
    <t>00,49,190630</t>
  </si>
  <si>
    <t>00,49,152,28636325</t>
  </si>
  <si>
    <t>tmuellerteufel@email.de</t>
  </si>
  <si>
    <t>pas de chien enfants</t>
  </si>
  <si>
    <t>5 (enfants 2,10,14)</t>
  </si>
  <si>
    <t>mailing du 13 oct</t>
  </si>
  <si>
    <t>Roscoff - 2013</t>
  </si>
  <si>
    <t>Hofmann</t>
  </si>
  <si>
    <t>beate1960@gmx.de</t>
  </si>
  <si>
    <t xml:space="preserve">Am Volkspark 81,  </t>
  </si>
  <si>
    <t>D-10715</t>
  </si>
  <si>
    <t>00,49,175/54 47 985</t>
  </si>
  <si>
    <t>ingrid.hanisch@freenet.de</t>
  </si>
  <si>
    <t>Ingrid</t>
  </si>
  <si>
    <t>Hanisch</t>
  </si>
  <si>
    <t>All</t>
  </si>
  <si>
    <t>00,49,1733996105</t>
  </si>
  <si>
    <t>2p + 1 chien</t>
  </si>
  <si>
    <t>charenton1</t>
  </si>
  <si>
    <t>Janse</t>
  </si>
  <si>
    <t>Hans &amp; Romy</t>
  </si>
  <si>
    <t>De Brug 21</t>
  </si>
  <si>
    <t>7325ND</t>
  </si>
  <si>
    <t>Apeldoorn</t>
  </si>
  <si>
    <t>00,31,55,360,1184</t>
  </si>
  <si>
    <t>00,31,6,462,05,356</t>
  </si>
  <si>
    <t>hans.janse@hetnet.nl</t>
  </si>
  <si>
    <t>3 enfants 12,15,17</t>
  </si>
  <si>
    <t>5 personnes</t>
  </si>
  <si>
    <t>73 Rue de Verdun</t>
  </si>
  <si>
    <t>GRANGER</t>
  </si>
  <si>
    <t xml:space="preserve">Muriel </t>
  </si>
  <si>
    <t>ANTONY</t>
  </si>
  <si>
    <t>06 07 11 30 05</t>
  </si>
  <si>
    <t>GrangerM@bsci.com</t>
  </si>
  <si>
    <t>2 adultes - champagne</t>
  </si>
  <si>
    <t>mailing noel</t>
  </si>
  <si>
    <t>Recette mensuelle</t>
  </si>
  <si>
    <t>Christiansen</t>
  </si>
  <si>
    <t>Jens</t>
  </si>
  <si>
    <t>0049,2401,88402</t>
  </si>
  <si>
    <t>00,49,163,14,12,560</t>
  </si>
  <si>
    <t>christiansen@bk-erkelenz.de</t>
  </si>
  <si>
    <t>3p (enfant 13 ans)</t>
  </si>
  <si>
    <t>hunde-urlaub.net</t>
  </si>
  <si>
    <t>Adenau</t>
  </si>
  <si>
    <t>Antje</t>
  </si>
  <si>
    <t>Alexanderstrasse 155</t>
  </si>
  <si>
    <t>Stuttgart</t>
  </si>
  <si>
    <t>00,49.71150434315</t>
  </si>
  <si>
    <t>00.49.160.99373715</t>
  </si>
  <si>
    <t>antje.adenau@web.de</t>
  </si>
  <si>
    <t>5p+1chien</t>
  </si>
  <si>
    <t>5 + 1 chien</t>
  </si>
  <si>
    <t>Serrig-Dupont</t>
  </si>
  <si>
    <t xml:space="preserve">Jules et Diane </t>
  </si>
  <si>
    <t xml:space="preserve">5, rue Joseph Weber    </t>
  </si>
  <si>
    <t xml:space="preserve">L-2717 </t>
  </si>
  <si>
    <t>00,352, 621 38 69 10</t>
  </si>
  <si>
    <t>00,352,24784842</t>
  </si>
  <si>
    <t>diane.dupont@ml.etat.lu</t>
  </si>
  <si>
    <t xml:space="preserve">1 chien </t>
  </si>
  <si>
    <t>3p dont1 enfant de 3 ans</t>
  </si>
  <si>
    <t>Bretagne-travel.de</t>
  </si>
  <si>
    <t>Prevost</t>
  </si>
  <si>
    <t>Corinne et Bertrand</t>
  </si>
  <si>
    <t>355 domaine des cerisiers chalet alpen</t>
  </si>
  <si>
    <t>saint paul evian</t>
  </si>
  <si>
    <t>06,19,84,24,47</t>
  </si>
  <si>
    <t>04,50,49,52,79</t>
  </si>
  <si>
    <t>cprevost74@yahoo.fr</t>
  </si>
  <si>
    <t>4p + 2chiens</t>
  </si>
  <si>
    <t>4 p+2 chiens</t>
  </si>
  <si>
    <t>iha,fr</t>
  </si>
  <si>
    <t>Moss</t>
  </si>
  <si>
    <t>Martina</t>
  </si>
  <si>
    <t>Silvanerweg 23/1</t>
  </si>
  <si>
    <t>D-69168</t>
  </si>
  <si>
    <t>Wiesloch</t>
  </si>
  <si>
    <t>00,9,62221,53329</t>
  </si>
  <si>
    <t>martina.moss@web.de</t>
  </si>
  <si>
    <t>Ina</t>
  </si>
  <si>
    <t>Mozartstrasse 3/1</t>
  </si>
  <si>
    <t>Unger</t>
  </si>
  <si>
    <t>Weinheim</t>
  </si>
  <si>
    <t xml:space="preserve">D-69469  </t>
  </si>
  <si>
    <t>0049 6201 18 69 63</t>
  </si>
  <si>
    <t>00,49,172,6250620</t>
  </si>
  <si>
    <t>ina.unger@vodafone.de; ina.unger@coronet-ckl.de</t>
  </si>
  <si>
    <t>Van Lierde</t>
  </si>
  <si>
    <t xml:space="preserve">Els </t>
  </si>
  <si>
    <t>evanlierde@coldsetprintingpartners.be</t>
  </si>
  <si>
    <r>
      <t>00,32,(0)477 774 289</t>
    </r>
    <r>
      <rPr>
        <sz val="12"/>
        <rFont val="Times New Roman"/>
        <family val="1"/>
      </rPr>
      <t xml:space="preserve"> </t>
    </r>
  </si>
  <si>
    <t>grands parents - petit fils</t>
  </si>
  <si>
    <t>smartmolendreff 59</t>
  </si>
  <si>
    <t>B-2560</t>
  </si>
  <si>
    <t>Kessel</t>
  </si>
  <si>
    <t>00,32,32979393</t>
  </si>
  <si>
    <t>Pajean</t>
  </si>
  <si>
    <t>10 rue charles clérice</t>
  </si>
  <si>
    <t>Rambouillet</t>
  </si>
  <si>
    <t>06,30,33,61,59</t>
  </si>
  <si>
    <t>spajean@wanadoo.fr</t>
  </si>
  <si>
    <t>3 adultes et 1 enfants de 11 ans</t>
  </si>
  <si>
    <t>dres.sander@web.de</t>
  </si>
  <si>
    <t>Dirk &amp; Susanne</t>
  </si>
  <si>
    <t>Dackenheimer str. 39</t>
  </si>
  <si>
    <t>D-67251</t>
  </si>
  <si>
    <t>Freinsheim</t>
  </si>
  <si>
    <t>00,49.6353,959,7910</t>
  </si>
  <si>
    <t>00,49,1,51,241,85090</t>
  </si>
  <si>
    <t>4p -  8 et 11 ans</t>
  </si>
  <si>
    <t xml:space="preserve"> Dauce</t>
  </si>
  <si>
    <t>Constance</t>
  </si>
  <si>
    <t>06,50,86,07,49</t>
  </si>
  <si>
    <t xml:space="preserve">constdauce@hotmail.com </t>
  </si>
  <si>
    <t>Marchal-Berwart</t>
  </si>
  <si>
    <t>Rue d'Anderlues,47</t>
  </si>
  <si>
    <t>B-6530</t>
  </si>
  <si>
    <t>Thuin</t>
  </si>
  <si>
    <t>00,32,495,49,78,40</t>
  </si>
  <si>
    <t>marchal@woddfashion.com</t>
  </si>
  <si>
    <t xml:space="preserve"> 4 adultes 2 jumeaux 15 mois</t>
  </si>
  <si>
    <t>amoco1</t>
  </si>
  <si>
    <t>amoco111</t>
  </si>
  <si>
    <t>Katrin</t>
  </si>
  <si>
    <t>Praest</t>
  </si>
  <si>
    <t>00.49.2304.70637</t>
  </si>
  <si>
    <t>00,49,152,285,11,485</t>
  </si>
  <si>
    <t>praestk@aol.com</t>
  </si>
  <si>
    <t>5p, 2 de 17 ans</t>
  </si>
  <si>
    <t>Bürenbrucher Weg 17</t>
  </si>
  <si>
    <t>D-58239</t>
  </si>
  <si>
    <t>Schwerte</t>
  </si>
  <si>
    <t>clederfan amoco1</t>
  </si>
  <si>
    <t>CA - 2013</t>
  </si>
  <si>
    <t>clients 2008</t>
  </si>
  <si>
    <t>00,49.176.325.96.483</t>
  </si>
  <si>
    <t>peter.binz@gmx.de</t>
  </si>
  <si>
    <t>Haas</t>
  </si>
  <si>
    <t>Insa &amp; Joachim</t>
  </si>
  <si>
    <t>Bismarckstrasse 35</t>
  </si>
  <si>
    <t>D-41747</t>
  </si>
  <si>
    <t>Viersen</t>
  </si>
  <si>
    <t>00,49,175.2067264</t>
  </si>
  <si>
    <t>niegengerd@hotmail.com</t>
  </si>
  <si>
    <t>non</t>
  </si>
  <si>
    <t>CA - 2014</t>
  </si>
  <si>
    <t>2014 - Cléder</t>
  </si>
  <si>
    <t>Rademacher-Suess</t>
  </si>
  <si>
    <t>Ruth</t>
  </si>
  <si>
    <t xml:space="preserve">Dorf 10 </t>
  </si>
  <si>
    <t>D-47589</t>
  </si>
  <si>
    <t>Uedem</t>
  </si>
  <si>
    <t>00,49,282.5539173</t>
  </si>
  <si>
    <t>00,49,1701843747</t>
  </si>
  <si>
    <t>ruth@rademacher-suess.de</t>
  </si>
  <si>
    <t>3p (enfant 6 ans)</t>
  </si>
  <si>
    <t>Bitzer</t>
  </si>
  <si>
    <t>Barbara</t>
  </si>
  <si>
    <t>bitzer.b@bluewin.ch</t>
  </si>
  <si>
    <t>mailing</t>
  </si>
  <si>
    <t>retour 2012</t>
  </si>
  <si>
    <t>00,41,61,511,51,03</t>
  </si>
  <si>
    <t>payé en juillet 2013</t>
  </si>
  <si>
    <t xml:space="preserve">Urban </t>
  </si>
  <si>
    <t>Cornelia</t>
  </si>
  <si>
    <t>Buchstrasse 14</t>
  </si>
  <si>
    <t>D-22087</t>
  </si>
  <si>
    <t>00,49,40,4711,6671</t>
  </si>
  <si>
    <t>00,49,172,411,60,26</t>
  </si>
  <si>
    <t>c.urban@hamburg.de</t>
  </si>
  <si>
    <t>2p+2chiens (gratuits les chiens)</t>
  </si>
  <si>
    <t>mailing 2008</t>
  </si>
  <si>
    <t>chiens gratuits</t>
  </si>
  <si>
    <t>1 chien - champagne - marathon</t>
  </si>
  <si>
    <t>enfants : 8,6,4 - champagne</t>
  </si>
  <si>
    <t>champagne - ménage inclus</t>
  </si>
  <si>
    <t>Siekkötter</t>
  </si>
  <si>
    <t>Sonja &amp; Uwe</t>
  </si>
  <si>
    <t>Harmenhauser strasse 11G</t>
  </si>
  <si>
    <t>00,49,4223,1221</t>
  </si>
  <si>
    <t>00,49,160,96942116</t>
  </si>
  <si>
    <t>sonja.siekkoetter@ewetel.net</t>
  </si>
  <si>
    <t>2p+2chiens</t>
  </si>
  <si>
    <t>Marlies</t>
  </si>
  <si>
    <t>Kubatchek</t>
  </si>
  <si>
    <t>Meinsenstr 13</t>
  </si>
  <si>
    <t>D-48683</t>
  </si>
  <si>
    <t>Ahaus</t>
  </si>
  <si>
    <t>00.49.256.1987088</t>
  </si>
  <si>
    <t>00.49.170.5.278.278</t>
  </si>
  <si>
    <t>kubatchek@arcor.de</t>
  </si>
  <si>
    <t>6p enf 9,10,12,13</t>
  </si>
  <si>
    <t>6 - prévoir 6 vélos</t>
  </si>
  <si>
    <t>arielledelicourt@gmail.com</t>
  </si>
  <si>
    <t>Arielle</t>
  </si>
  <si>
    <t>Delicourt</t>
  </si>
  <si>
    <t>Caen</t>
  </si>
  <si>
    <t>6P adultes</t>
  </si>
  <si>
    <t>6 adultes</t>
  </si>
  <si>
    <t>Linder</t>
  </si>
  <si>
    <t>Stefan &amp; Jacqueline</t>
  </si>
  <si>
    <t>Kirch str. 47</t>
  </si>
  <si>
    <t>D-53913</t>
  </si>
  <si>
    <t>Swisttal</t>
  </si>
  <si>
    <t>00,49,17627460685</t>
  </si>
  <si>
    <t>lindner1984@yahoo.de</t>
  </si>
  <si>
    <t>2p jeunes marriés</t>
  </si>
  <si>
    <t>oui</t>
  </si>
  <si>
    <t>Loy</t>
  </si>
  <si>
    <t>Stephen</t>
  </si>
  <si>
    <t>Crazy cow. The green</t>
  </si>
  <si>
    <t>LA28NW</t>
  </si>
  <si>
    <t>Wennington</t>
  </si>
  <si>
    <t>England</t>
  </si>
  <si>
    <t>00.44.15242.21084</t>
  </si>
  <si>
    <t>00,44.7969.798990</t>
  </si>
  <si>
    <t>steve@stevelesloy.freeserve.co.uk</t>
  </si>
  <si>
    <t>flick</t>
  </si>
  <si>
    <t>Vlamink</t>
  </si>
  <si>
    <t>Sylvie</t>
  </si>
  <si>
    <t>rue des onze villes10</t>
  </si>
  <si>
    <t>B-7061</t>
  </si>
  <si>
    <t>Casteau(Boignies)</t>
  </si>
  <si>
    <t>00,32,498,15,32,30</t>
  </si>
  <si>
    <t>sylvie.vla@live.com</t>
  </si>
  <si>
    <t>4p - 2 bébé 1an et 2,5 ans</t>
  </si>
  <si>
    <t>Resultat brut</t>
  </si>
  <si>
    <t>Franke</t>
  </si>
  <si>
    <t>Erlengrundstrasse 34</t>
  </si>
  <si>
    <t>D-74613</t>
  </si>
  <si>
    <t>Oehringen</t>
  </si>
  <si>
    <t>00,49,7948,940687</t>
  </si>
  <si>
    <t>00.49.160.90813330</t>
  </si>
  <si>
    <t>tf.thomasfranke@t-online.de</t>
  </si>
  <si>
    <t>4p+1chien</t>
  </si>
  <si>
    <t>Rolland</t>
  </si>
  <si>
    <t>Josée</t>
  </si>
  <si>
    <t>06,12,61,51,85</t>
  </si>
  <si>
    <t>1 CHEMIN DES qUenotteaux</t>
  </si>
  <si>
    <t>Noyon</t>
  </si>
  <si>
    <t>rolland.josee@gmail.com</t>
  </si>
  <si>
    <t>Silvio</t>
  </si>
  <si>
    <t>Am Harras 15</t>
  </si>
  <si>
    <t>D-81373</t>
  </si>
  <si>
    <t>Munchen</t>
  </si>
  <si>
    <t>00,49,15771531103</t>
  </si>
  <si>
    <t>silvio_kell@yahoo.de</t>
  </si>
  <si>
    <t>n</t>
  </si>
  <si>
    <t>5 - enfants 1 et 4 + belle mère</t>
  </si>
  <si>
    <t>Ulrich</t>
  </si>
  <si>
    <t>Kuppler</t>
  </si>
  <si>
    <t>Mittlerer Reisberg 10A</t>
  </si>
  <si>
    <t>Bad Homburg</t>
  </si>
  <si>
    <t>00,49,172,661,7179</t>
  </si>
  <si>
    <t>kuppler2@t-online.de</t>
  </si>
  <si>
    <t>5P + 1 Chien - 10-9-7</t>
  </si>
  <si>
    <t>5p 10 9 7</t>
  </si>
  <si>
    <t>2p + 1 chien serviettes</t>
  </si>
  <si>
    <t>06,43,81,78,47</t>
  </si>
  <si>
    <t>Treir-Erhart</t>
  </si>
  <si>
    <t>Im Zihl 5,</t>
  </si>
  <si>
    <t>Beinwil am See</t>
  </si>
  <si>
    <t>00,41,76339.65.80</t>
  </si>
  <si>
    <t>004162.772.05.25</t>
  </si>
  <si>
    <t>sandra@erhart.ch</t>
  </si>
  <si>
    <t>5p enfants 4-6-8</t>
  </si>
  <si>
    <t>Mace</t>
  </si>
  <si>
    <t>Christele</t>
  </si>
  <si>
    <t>5p</t>
  </si>
  <si>
    <t>15 mois et  4ans</t>
  </si>
  <si>
    <t>9 aout</t>
  </si>
  <si>
    <t>le bon coin</t>
  </si>
  <si>
    <t>20 le clos de bessancourt</t>
  </si>
  <si>
    <t>Bessancourt</t>
  </si>
  <si>
    <t>06,09,14.70.01</t>
  </si>
  <si>
    <t>Axel</t>
  </si>
  <si>
    <t>Schreiter</t>
  </si>
  <si>
    <t>Wittreem 9</t>
  </si>
  <si>
    <t>D-22159</t>
  </si>
  <si>
    <t>00.49.405.142.800</t>
  </si>
  <si>
    <t>axelschreiter@yahoo.de</t>
  </si>
  <si>
    <t>4p - 2 enfants</t>
  </si>
  <si>
    <t>christele.mace@numericable.fr</t>
  </si>
  <si>
    <t>Stephan</t>
  </si>
  <si>
    <t>Kobel</t>
  </si>
  <si>
    <t>Uetendorfstrasse 4</t>
  </si>
  <si>
    <t xml:space="preserve">CH-3634 </t>
  </si>
  <si>
    <t>Thierachern</t>
  </si>
  <si>
    <t xml:space="preserve">00 41 79 413 27 21 </t>
  </si>
  <si>
    <t>stephan.kobel@swissonline.ch</t>
  </si>
  <si>
    <t>2p + 3 chiens</t>
  </si>
  <si>
    <t>pas de site</t>
  </si>
  <si>
    <t>2015 - Cléder</t>
  </si>
  <si>
    <t>CA - 2015</t>
  </si>
  <si>
    <t xml:space="preserve">nathalia </t>
  </si>
  <si>
    <t>Köninger-Fritz</t>
  </si>
  <si>
    <t>Waldfeldstrasse 7</t>
  </si>
  <si>
    <t>D-77880</t>
  </si>
  <si>
    <t>Sasbach</t>
  </si>
  <si>
    <t>00,49.784.1684.1359</t>
  </si>
  <si>
    <t>00.49.176.311.31396</t>
  </si>
  <si>
    <t>N.koeninger@web.de</t>
  </si>
  <si>
    <t>6p + 1 chien</t>
  </si>
  <si>
    <t>Hauptmann</t>
  </si>
  <si>
    <t>Marlene &amp; Wolfgang</t>
  </si>
  <si>
    <t>Wiesengrund 4</t>
  </si>
  <si>
    <t>D-59519</t>
  </si>
  <si>
    <t>Möhnesee</t>
  </si>
  <si>
    <t>00.49.2925.7534961</t>
  </si>
  <si>
    <t>00.49.1716460.239</t>
  </si>
  <si>
    <t>Kinderhaus-Hauptmann@web.de</t>
  </si>
  <si>
    <t>2p+3chiens</t>
  </si>
  <si>
    <t>Doherr</t>
  </si>
  <si>
    <t>Jakobusstrasse 3</t>
  </si>
  <si>
    <t>D-51515</t>
  </si>
  <si>
    <t>Kürten</t>
  </si>
  <si>
    <t>00,49.2207706327</t>
  </si>
  <si>
    <t>00,49.176.10259297</t>
  </si>
  <si>
    <t>martindoherr@gmail.com</t>
  </si>
  <si>
    <t>?</t>
  </si>
  <si>
    <t>Wittemann</t>
  </si>
  <si>
    <t>Juliette &amp; Rainer</t>
  </si>
  <si>
    <t>Mittelwegring 23</t>
  </si>
  <si>
    <t>D-76751</t>
  </si>
  <si>
    <t>Jockgrim</t>
  </si>
  <si>
    <t>00,49.173.3927294</t>
  </si>
  <si>
    <t>paloma13@gmx.de</t>
  </si>
  <si>
    <t>3 chiens - wifi</t>
  </si>
  <si>
    <t>hunde-urlaub</t>
  </si>
  <si>
    <t>rainer.wittemann@hotmail.de</t>
  </si>
  <si>
    <t>Dinouard</t>
  </si>
  <si>
    <t>Nadie</t>
  </si>
  <si>
    <t>dinouardnadie@hotmail.fr</t>
  </si>
  <si>
    <t>6p</t>
  </si>
  <si>
    <t>nathalie.bourson@education.lu</t>
  </si>
  <si>
    <t>Rodrigue Navlet</t>
  </si>
  <si>
    <t>Nathalie</t>
  </si>
  <si>
    <t>Bourson</t>
  </si>
  <si>
    <t>amis des Navlet</t>
  </si>
  <si>
    <t>2 bis rue de la marne</t>
  </si>
  <si>
    <t>L-54190</t>
  </si>
  <si>
    <t>03,82,89,12,71</t>
  </si>
  <si>
    <t>00.352.691920.832</t>
  </si>
  <si>
    <t>4 dont 2 enfants (2 ans et 6 mois)</t>
  </si>
  <si>
    <t>Dratwiczki-Wolsfeld</t>
  </si>
  <si>
    <t>18 rue Knepel</t>
  </si>
  <si>
    <t>L-7451</t>
  </si>
  <si>
    <t>Lintgen</t>
  </si>
  <si>
    <t>00,352,26,33,12,58</t>
  </si>
  <si>
    <t>00,352,621,18,20,60</t>
  </si>
  <si>
    <t>peggy.wolsfeld@education.lu</t>
  </si>
  <si>
    <t>5p+1 chien</t>
  </si>
  <si>
    <t>5p dont 2 enfants 13 et 16</t>
  </si>
  <si>
    <t>Kling-Werner</t>
  </si>
  <si>
    <t>Johanna</t>
  </si>
  <si>
    <t>Disteweg 24</t>
  </si>
  <si>
    <t>D-68794</t>
  </si>
  <si>
    <t>Oberhausen-Rheinhausen</t>
  </si>
  <si>
    <t>00.49.176.924.75.927</t>
  </si>
  <si>
    <t>cbtkw@email.de</t>
  </si>
  <si>
    <t>11 rue d'en haut</t>
  </si>
  <si>
    <t>Puchevillers</t>
  </si>
  <si>
    <t>06.26.48.43.46</t>
  </si>
  <si>
    <t>03.22.76.50.41</t>
  </si>
  <si>
    <t>7 dont 4adultes 2 13 et 15 et 1 bébé de 20 mois</t>
  </si>
  <si>
    <t>Strigl</t>
  </si>
  <si>
    <t>Angela und Wolf</t>
  </si>
  <si>
    <t>Grüner Weg 9</t>
  </si>
  <si>
    <t>D-83229</t>
  </si>
  <si>
    <t>Aschau</t>
  </si>
  <si>
    <t>00.49.173.531.84.86</t>
  </si>
  <si>
    <t>astrigl@gmx.de</t>
  </si>
  <si>
    <t>p + 2 chiens</t>
  </si>
  <si>
    <t>2 à l'rrivée + 2 plus tard parlent un peu français</t>
  </si>
  <si>
    <t>Marjolein</t>
  </si>
  <si>
    <t>Hoving</t>
  </si>
  <si>
    <t>Bachlaan 28</t>
  </si>
  <si>
    <t>Baarn</t>
  </si>
  <si>
    <t>00,31,6,2705,8843</t>
  </si>
  <si>
    <t>marjolein@hovingnet.nl</t>
  </si>
  <si>
    <t>3 chiens - grillage</t>
  </si>
  <si>
    <t>Carlier</t>
  </si>
  <si>
    <t>Odile</t>
  </si>
  <si>
    <t>03,20,84,93,13</t>
  </si>
  <si>
    <t>odilecarlier@orange.fr</t>
  </si>
  <si>
    <t>Eric</t>
  </si>
  <si>
    <t>Parage</t>
  </si>
  <si>
    <t>12 rue Bazoge</t>
  </si>
  <si>
    <t>Le Mans</t>
  </si>
  <si>
    <t>02,43.75.44.55</t>
  </si>
  <si>
    <t>06,03,66,13,83</t>
  </si>
  <si>
    <t>4p</t>
  </si>
  <si>
    <t>ericparage@free.fr</t>
  </si>
  <si>
    <t>Plateau</t>
  </si>
  <si>
    <t>Hervé</t>
  </si>
  <si>
    <t>6 bis rue des beaux monts</t>
  </si>
  <si>
    <t>Liessies</t>
  </si>
  <si>
    <t>03,27,61,53,29</t>
  </si>
  <si>
    <t>06,89,11,85,87</t>
  </si>
  <si>
    <t>herveplateau1@gmail.com</t>
  </si>
  <si>
    <t>3p 93 ans</t>
  </si>
  <si>
    <t>6 dont 2 enf 7 et 12</t>
  </si>
  <si>
    <t>Bettenhausen</t>
  </si>
  <si>
    <t>Elke &amp; Sven</t>
  </si>
  <si>
    <t>Graslitzer Str. 3B</t>
  </si>
  <si>
    <t>D-64569</t>
  </si>
  <si>
    <t>Nauheim</t>
  </si>
  <si>
    <t>00,49.615.26.36.39</t>
  </si>
  <si>
    <t>00.49.172.142.36.47</t>
  </si>
  <si>
    <t>elke@betten-hausen.de</t>
  </si>
  <si>
    <t>4p dont 2 enfant 15&amp;12</t>
  </si>
  <si>
    <t>Freidrich strasse 34</t>
  </si>
  <si>
    <t>D-66519</t>
  </si>
  <si>
    <t>Hermersberg</t>
  </si>
  <si>
    <t>00,49.157.30391362</t>
  </si>
  <si>
    <t>n.mueller@radio-homburg.de</t>
  </si>
  <si>
    <t>6p+1chien+1chien =2</t>
  </si>
  <si>
    <t>Meir-Ruck</t>
  </si>
  <si>
    <t>Brenda</t>
  </si>
  <si>
    <t>Van Oorschotlaan</t>
  </si>
  <si>
    <t>00,31,65,55,65,349</t>
  </si>
  <si>
    <t>brendaruck@zeelandnet.nl</t>
  </si>
  <si>
    <t>4p (15-16 ans) + 1 chine</t>
  </si>
  <si>
    <t>Gottwald</t>
  </si>
  <si>
    <t>Natascha&amp; Jörg</t>
  </si>
  <si>
    <t>Brühlstrasse 5</t>
  </si>
  <si>
    <t>D-69207</t>
  </si>
  <si>
    <t>Sandhausen</t>
  </si>
  <si>
    <t>00,49.6224.53563</t>
  </si>
  <si>
    <t>00,49.177.335.3563</t>
  </si>
  <si>
    <t>joerg.gottwald@hotmail.de</t>
  </si>
  <si>
    <t>2 + 3 chiens</t>
  </si>
  <si>
    <t>Tran Giang</t>
  </si>
  <si>
    <t>Flat 15, The wallpaper Apartments</t>
  </si>
  <si>
    <t>142 Offord Road</t>
  </si>
  <si>
    <t>London N1 1NS</t>
  </si>
  <si>
    <t>United Kingdom</t>
  </si>
  <si>
    <t>00,44.7733.105819</t>
  </si>
  <si>
    <t>tran.giang@me.com</t>
  </si>
  <si>
    <t>5p (2 enfnts 5 et 2,5)</t>
  </si>
  <si>
    <t>trip advisor</t>
  </si>
  <si>
    <t>4 dont 2 enfants (3 et 1 ans)</t>
  </si>
  <si>
    <t>Seitz</t>
  </si>
  <si>
    <t>Christoph</t>
  </si>
  <si>
    <t>Freidenstrasse 16</t>
  </si>
  <si>
    <t>D-63654</t>
  </si>
  <si>
    <t>Büdingen</t>
  </si>
  <si>
    <t>00,49,6042956639</t>
  </si>
  <si>
    <t>00,49.151.2011.3450</t>
  </si>
  <si>
    <t>x-oph@gmx.net</t>
  </si>
  <si>
    <t>4p dont enfants 10 et12 + 1 chien</t>
  </si>
  <si>
    <t>2016 - Cléder</t>
  </si>
  <si>
    <t>Nickaes-Ley</t>
  </si>
  <si>
    <t>Alte Str 47a</t>
  </si>
  <si>
    <t>D-64743</t>
  </si>
  <si>
    <t>Beerfelden</t>
  </si>
  <si>
    <t>00,49.6068.47355</t>
  </si>
  <si>
    <t>00.49.172.66.73.410</t>
  </si>
  <si>
    <t>c.nickaes-ley@gmx.de</t>
  </si>
  <si>
    <t>Von Eicken</t>
  </si>
  <si>
    <t>Karin</t>
  </si>
  <si>
    <t>Am Stern 7</t>
  </si>
  <si>
    <t>D-45289</t>
  </si>
  <si>
    <t>00,49,20147910478</t>
  </si>
  <si>
    <t>00,49,170,280,72,75</t>
  </si>
  <si>
    <t>karin.voneickengmx.de</t>
  </si>
  <si>
    <t>4 ? _ 2 enfants 5 et 18 ans</t>
  </si>
  <si>
    <t>hundeurlaub</t>
  </si>
  <si>
    <t>Emmenegger</t>
  </si>
  <si>
    <t>Veilchenweg 11</t>
  </si>
  <si>
    <t>CH-4311</t>
  </si>
  <si>
    <t>Möhlin</t>
  </si>
  <si>
    <t>00,41,79,442,5310</t>
  </si>
  <si>
    <t>00,41,78,716,55,12</t>
  </si>
  <si>
    <t>info@g-schlatter.ch</t>
  </si>
  <si>
    <t>Everett</t>
  </si>
  <si>
    <t>Cleder</t>
  </si>
  <si>
    <t>06,40,41,38,54</t>
  </si>
  <si>
    <t>hortense.everett@gmail.com</t>
  </si>
  <si>
    <t>1er décembre</t>
  </si>
  <si>
    <t>9 rue Streat Glaz</t>
  </si>
  <si>
    <t>Daimlerstr. 223 b</t>
  </si>
  <si>
    <t>Zach</t>
  </si>
  <si>
    <t xml:space="preserve">D-41462 </t>
  </si>
  <si>
    <t>00,49,2131548377</t>
  </si>
  <si>
    <t>00,49,1784143598</t>
  </si>
  <si>
    <t>4p - 2 chiens</t>
  </si>
  <si>
    <t>Martens-Schwering</t>
  </si>
  <si>
    <t xml:space="preserve">Ulrike </t>
  </si>
  <si>
    <t>u.martens-schwering@lvm.de</t>
  </si>
  <si>
    <t>2p 1 chien</t>
  </si>
  <si>
    <t>Doll</t>
  </si>
  <si>
    <t>Birgitt</t>
  </si>
  <si>
    <t>Redingstrasse 15</t>
  </si>
  <si>
    <t>CH-4052</t>
  </si>
  <si>
    <t>00,41,79,756,476,9</t>
  </si>
  <si>
    <t>birgittdoll@aol.com</t>
  </si>
  <si>
    <t>2 chiens 2p</t>
  </si>
  <si>
    <t>Tilgner</t>
  </si>
  <si>
    <t>Anja</t>
  </si>
  <si>
    <t>Sparrhöh 12a</t>
  </si>
  <si>
    <t>D-24882</t>
  </si>
  <si>
    <t>Schoolby</t>
  </si>
  <si>
    <t>00,49,4627,180045</t>
  </si>
  <si>
    <t>00,49,170,2855525</t>
  </si>
  <si>
    <t>ratilgner@aol.com</t>
  </si>
  <si>
    <t>6p 1 enfant 12 ans 2 chiens</t>
  </si>
  <si>
    <t>1 semaine 3 1 semaine 6</t>
  </si>
  <si>
    <t>3p dont1 enfant de 6 ans</t>
  </si>
  <si>
    <t>retour</t>
  </si>
  <si>
    <t>Edisonstrasse 13</t>
  </si>
  <si>
    <t>D-48301</t>
  </si>
  <si>
    <t>Nottuln</t>
  </si>
  <si>
    <t>00,49,2502,227547</t>
  </si>
  <si>
    <t>00,49,178,5220633</t>
  </si>
  <si>
    <t>hunde</t>
  </si>
  <si>
    <t>Boucheron</t>
  </si>
  <si>
    <t>Elodie</t>
  </si>
  <si>
    <t>23 ter route de Joigny</t>
  </si>
  <si>
    <t>Brienon</t>
  </si>
  <si>
    <t>06,08,84,52,64</t>
  </si>
  <si>
    <t>06,83,26,24,47</t>
  </si>
  <si>
    <t>boucheron.elodie@laposte.net</t>
  </si>
  <si>
    <t>4p dont 5 et 9 ans</t>
  </si>
  <si>
    <t xml:space="preserve">Resultat </t>
  </si>
  <si>
    <t>9 villa Manin</t>
  </si>
  <si>
    <t>06 76 9286 77</t>
  </si>
  <si>
    <t>06 32 68 65 63</t>
  </si>
  <si>
    <t>Pélissier</t>
  </si>
  <si>
    <t xml:space="preserve">Frédérique et Yan </t>
  </si>
  <si>
    <t>PARIS</t>
  </si>
  <si>
    <t>frederique.pelissier@free.fr</t>
  </si>
  <si>
    <t>5p 3 filles</t>
  </si>
  <si>
    <t>ludo</t>
  </si>
  <si>
    <t>Jaedicke</t>
  </si>
  <si>
    <t>Eva &amp; Christophe</t>
  </si>
  <si>
    <t>00,49,171,684,30,05</t>
  </si>
  <si>
    <t>christoph.jaedicke@gmx.de</t>
  </si>
  <si>
    <t>2p + 3 chiennes</t>
  </si>
  <si>
    <t>Brandelweg 13/1</t>
  </si>
  <si>
    <t>D-73912</t>
  </si>
  <si>
    <t>Emmendingen</t>
  </si>
  <si>
    <t xml:space="preserve">ftp.bretagneparadise.com </t>
  </si>
  <si>
    <t>bretagneyr</t>
  </si>
  <si>
    <t>Uxf4zXjUukTg</t>
  </si>
  <si>
    <t>OVH</t>
  </si>
  <si>
    <t>Meier</t>
  </si>
  <si>
    <t>Ron</t>
  </si>
  <si>
    <t>Van Oorschotleen 14</t>
  </si>
  <si>
    <t>NED-4386EG</t>
  </si>
  <si>
    <t>Ulissingen</t>
  </si>
  <si>
    <t>Hollande</t>
  </si>
  <si>
    <t>ronmeier@zeelandnet.nl</t>
  </si>
  <si>
    <t>4P</t>
  </si>
  <si>
    <t>4p 15 et 17 ans</t>
  </si>
  <si>
    <t>retour 2015</t>
  </si>
  <si>
    <t>sandra@rudelwohl-zach.de</t>
  </si>
  <si>
    <t>Beck</t>
  </si>
  <si>
    <t>Lea</t>
  </si>
  <si>
    <t>5 clos de la Companie</t>
  </si>
  <si>
    <t>Guenange</t>
  </si>
  <si>
    <t>06,15,85,87,68</t>
  </si>
  <si>
    <t>lea.beck@live.fr</t>
  </si>
  <si>
    <t>5 dont une enfant de 24 mois</t>
  </si>
  <si>
    <t>CA - 2016</t>
  </si>
  <si>
    <t>2017 - Cléder</t>
  </si>
  <si>
    <t>CA - 2017</t>
  </si>
  <si>
    <t>family@schlup.net</t>
  </si>
  <si>
    <t>00,41,615,115103</t>
  </si>
  <si>
    <t>enfants : 13,11,10</t>
  </si>
  <si>
    <t>Ivanka</t>
  </si>
  <si>
    <t>Slavicek</t>
  </si>
  <si>
    <t>Neufeld3</t>
  </si>
  <si>
    <t>D-47906</t>
  </si>
  <si>
    <t>Vernpen</t>
  </si>
  <si>
    <t>00,49,28456089500</t>
  </si>
  <si>
    <t>00,49,152,536,200,39</t>
  </si>
  <si>
    <t>i.slavicek@t-online.de</t>
  </si>
  <si>
    <t>Matthias</t>
  </si>
  <si>
    <t>Schoenmackers</t>
  </si>
  <si>
    <t>mschoe.501356@guest.booking.com</t>
  </si>
  <si>
    <t>5p 12-15-17 ans</t>
  </si>
  <si>
    <t>booking</t>
  </si>
  <si>
    <t>00,49,16097608824</t>
  </si>
  <si>
    <t>Sammler</t>
  </si>
  <si>
    <t>Silvia</t>
  </si>
  <si>
    <t>Brecht</t>
  </si>
  <si>
    <t>Simone und Tomas</t>
  </si>
  <si>
    <t xml:space="preserve">4p </t>
  </si>
  <si>
    <t>Vanhee</t>
  </si>
  <si>
    <t>be</t>
  </si>
  <si>
    <t>0049/(0)170/6200944</t>
  </si>
  <si>
    <t>Heiko</t>
  </si>
  <si>
    <t>4 - 8 et 14 ans</t>
  </si>
  <si>
    <t>62 rue de Gohyssart</t>
  </si>
  <si>
    <t>B-6044</t>
  </si>
  <si>
    <t>Roux</t>
  </si>
  <si>
    <t>pascalvanhee@brutele.be</t>
  </si>
  <si>
    <t xml:space="preserve">Sandackerstr. 1, </t>
  </si>
  <si>
    <t>Laudenbach,</t>
  </si>
  <si>
    <t xml:space="preserve">D-69514 </t>
  </si>
  <si>
    <t xml:space="preserve">00.49.173 5861 830 </t>
  </si>
  <si>
    <t>00.49.17632356969</t>
  </si>
  <si>
    <t>tina.albrecht712@gmail.com</t>
  </si>
  <si>
    <t>3p (1 enfant 1,5 an)</t>
  </si>
  <si>
    <t>sbrech.180904@guest.booking.com</t>
  </si>
  <si>
    <t>2P + 2 chiens</t>
  </si>
  <si>
    <t>00.49.172.9016782</t>
  </si>
  <si>
    <t>4 adultes (2 couples)</t>
  </si>
  <si>
    <t>Albrecht</t>
  </si>
  <si>
    <t>Bernard &amp; Christiane</t>
  </si>
  <si>
    <t>Fleschut</t>
  </si>
  <si>
    <t>00.49.1726202673</t>
  </si>
  <si>
    <t>00.32.476416205</t>
  </si>
  <si>
    <t>Colas</t>
  </si>
  <si>
    <t>Stéphanie et Lionel</t>
  </si>
  <si>
    <t>54 chemin des Vivetières</t>
  </si>
  <si>
    <t>Pruille</t>
  </si>
  <si>
    <t>06.21.58.67.27</t>
  </si>
  <si>
    <t>steph-cheyenne@orange.fr</t>
  </si>
  <si>
    <t>icloud</t>
  </si>
  <si>
    <t>arinternational@orange.fr</t>
  </si>
  <si>
    <t>Amoco123</t>
  </si>
  <si>
    <t>Piram</t>
  </si>
  <si>
    <t>Jeanette</t>
  </si>
  <si>
    <t>Fichtenweg 15</t>
  </si>
  <si>
    <t>D-79183</t>
  </si>
  <si>
    <t>Waldkirch</t>
  </si>
  <si>
    <t>00.49.1715528925</t>
  </si>
  <si>
    <t>jeanette@piram.de</t>
  </si>
  <si>
    <t>6 adultes + chien</t>
  </si>
  <si>
    <t>urtlaub anbieter</t>
  </si>
  <si>
    <t>Németh</t>
  </si>
  <si>
    <t>Katalin</t>
  </si>
  <si>
    <t>Eichendorffstrasse 23a</t>
  </si>
  <si>
    <t>D-91301</t>
  </si>
  <si>
    <t>Forchheim</t>
  </si>
  <si>
    <t>00.49.175.4070895</t>
  </si>
  <si>
    <t>00.49.99191704883</t>
  </si>
  <si>
    <t>k.nemeth24@googlemail.com</t>
  </si>
  <si>
    <t>2p 2 chien</t>
  </si>
  <si>
    <t>Hundeurlaub.de</t>
  </si>
  <si>
    <t>sandra@broekmann.de</t>
  </si>
  <si>
    <t>Broekman</t>
  </si>
  <si>
    <t>Reuenberg 135</t>
  </si>
  <si>
    <t>D-45357</t>
  </si>
  <si>
    <t>00.49.203.31655414</t>
  </si>
  <si>
    <t>00.49.173.2889542</t>
  </si>
  <si>
    <t>Krahl</t>
  </si>
  <si>
    <t>Helmut und Manuela</t>
  </si>
  <si>
    <t>Parkstrasse 28</t>
  </si>
  <si>
    <t>D-67655</t>
  </si>
  <si>
    <t>Kaiserslautern</t>
  </si>
  <si>
    <t>00.49.179.4010506</t>
  </si>
  <si>
    <t>00.49.176.60032845</t>
  </si>
  <si>
    <t>direct</t>
  </si>
  <si>
    <t>645 reçus</t>
  </si>
  <si>
    <t>karin.voneicken@gmx.de</t>
  </si>
  <si>
    <t>bretagneyr@ftp.bretagneparadise.com</t>
  </si>
  <si>
    <t>Franz</t>
  </si>
  <si>
    <t>Gmachl</t>
  </si>
  <si>
    <t>Glaserstrasse 19</t>
  </si>
  <si>
    <t>D-5026</t>
  </si>
  <si>
    <t>Salzburg</t>
  </si>
  <si>
    <t>Austria</t>
  </si>
  <si>
    <t>00.43.6648206073</t>
  </si>
  <si>
    <t>fg@pflegermais.at</t>
  </si>
  <si>
    <t>2 adulte  + 1 enfant 13ns + 1 chien</t>
  </si>
  <si>
    <t>hunde-urlaud</t>
  </si>
  <si>
    <t>1chien,2 enf 8 et 12ans 4 adulte et 2 enfants</t>
  </si>
  <si>
    <t>marchal@woodfashion.com</t>
  </si>
  <si>
    <t>3 Avenue Fortuny</t>
  </si>
  <si>
    <t>Soinsy Monrorency</t>
  </si>
  <si>
    <t>06.85588557</t>
  </si>
  <si>
    <t>brigittechanteloube@wanadoo.fr</t>
  </si>
  <si>
    <t>1 chien - 2P</t>
  </si>
  <si>
    <t>Evadoo</t>
  </si>
  <si>
    <t xml:space="preserve">Chanteloube </t>
  </si>
  <si>
    <t>Picone</t>
  </si>
  <si>
    <t>Ana</t>
  </si>
  <si>
    <t>ana.picone@web.de</t>
  </si>
  <si>
    <t xml:space="preserve">00.49. 1732758283 </t>
  </si>
  <si>
    <t>2 adultes et 3 chiens</t>
  </si>
  <si>
    <t xml:space="preserve">Kölner Str. 14, </t>
  </si>
  <si>
    <t>Haan</t>
  </si>
  <si>
    <t xml:space="preserve">D-42781 </t>
  </si>
  <si>
    <t>Astrid</t>
  </si>
  <si>
    <t>00.49.15115307260</t>
  </si>
  <si>
    <t>Sturbeck</t>
  </si>
  <si>
    <t>Marisa</t>
  </si>
  <si>
    <t>Manzi</t>
  </si>
  <si>
    <t>gmmanzi@aol.com</t>
  </si>
  <si>
    <t>Harksheider Weg 135</t>
  </si>
  <si>
    <t>Quickborn</t>
  </si>
  <si>
    <t>D-25451</t>
  </si>
  <si>
    <t>00.49.1604468764</t>
  </si>
  <si>
    <t>Fahr</t>
  </si>
  <si>
    <t>Anne Katrin</t>
  </si>
  <si>
    <t>Driste-Hulshoff Strasse 14a</t>
  </si>
  <si>
    <t>D-41464</t>
  </si>
  <si>
    <t>00.49.2131.3144074</t>
  </si>
  <si>
    <t>00.49.176.240.84450</t>
  </si>
  <si>
    <t>katrin.fahr@googlemail.com</t>
  </si>
  <si>
    <t>2 adultes et 3 enfants (12, 10, 7) + 1 chien</t>
  </si>
  <si>
    <t>Michaela</t>
  </si>
  <si>
    <t>Mandt</t>
  </si>
  <si>
    <t>Felderstr.7</t>
  </si>
  <si>
    <t xml:space="preserve">D-51371 </t>
  </si>
  <si>
    <t>Leverkusen</t>
  </si>
  <si>
    <t>michaelamandt@yahoo.de</t>
  </si>
  <si>
    <t>00.49.21425801</t>
  </si>
  <si>
    <t>*</t>
  </si>
  <si>
    <t>Moreau</t>
  </si>
  <si>
    <t>Laurence</t>
  </si>
  <si>
    <t>39 rue des bruyères</t>
  </si>
  <si>
    <t>Bois le Roi</t>
  </si>
  <si>
    <t>06.10.29.29.64</t>
  </si>
  <si>
    <t>moreaulaurence@free.fr</t>
  </si>
  <si>
    <t>1 adulte et 3 enfants 21, 18, 14 + 2 chiens</t>
  </si>
  <si>
    <t>2 adultes et 3 chiens - changé du 2 au 9 septembre de 1390 à 890</t>
  </si>
  <si>
    <t>Hain</t>
  </si>
  <si>
    <t>Franco</t>
  </si>
  <si>
    <t>Wiesenstrasse 10</t>
  </si>
  <si>
    <t>D-68519</t>
  </si>
  <si>
    <t>00.49.17661116922</t>
  </si>
  <si>
    <t>f.hain@gmx.de</t>
  </si>
  <si>
    <t>2p, 2 chiens</t>
  </si>
  <si>
    <t>arne.kirchner@ahag-bochum.de</t>
  </si>
  <si>
    <t>Kirchner</t>
  </si>
  <si>
    <t>Arne</t>
  </si>
  <si>
    <t>Humbusch 66</t>
  </si>
  <si>
    <t>Haltern am See</t>
  </si>
  <si>
    <t>00.49.162.1069002</t>
  </si>
  <si>
    <t>asurbeck@t-online.de</t>
  </si>
  <si>
    <t>3P + 3 chiens : menage inclus</t>
  </si>
  <si>
    <t>Trettin</t>
  </si>
  <si>
    <t>Sarah</t>
  </si>
  <si>
    <t>Augustrasse 28</t>
  </si>
  <si>
    <t>D-40477</t>
  </si>
  <si>
    <t>Dusseldorf</t>
  </si>
  <si>
    <t>00.49.157.308404496</t>
  </si>
  <si>
    <t>star_moon4@hotmail.com</t>
  </si>
  <si>
    <t>3-4 p - 1 chien</t>
  </si>
  <si>
    <t>Kuhn</t>
  </si>
  <si>
    <t>Rietgras 44</t>
  </si>
  <si>
    <t>N-2498EG</t>
  </si>
  <si>
    <t>Den Haag</t>
  </si>
  <si>
    <t>00.31.648193604</t>
  </si>
  <si>
    <t>rckuhn@web.de</t>
  </si>
  <si>
    <t>2 adultes, 2 enfants</t>
  </si>
  <si>
    <t>urlaubanbieter</t>
  </si>
  <si>
    <t>kmercedes300@aol.com</t>
  </si>
  <si>
    <t>2018 - Cléder</t>
  </si>
  <si>
    <t>CA - 2018</t>
  </si>
  <si>
    <t>michael.boller@hartmann-werkzeugmarkt.de</t>
  </si>
  <si>
    <t>Auf dem Rapsfeld 25 g</t>
  </si>
  <si>
    <t xml:space="preserve">D-22359 </t>
  </si>
  <si>
    <t>00.49.1752456463</t>
  </si>
  <si>
    <t>5p - 3enfant et 1 chine</t>
  </si>
  <si>
    <t>hundeurlaub.de</t>
  </si>
  <si>
    <t>00.49</t>
  </si>
  <si>
    <t>Kuss</t>
  </si>
  <si>
    <t>Nicole</t>
  </si>
  <si>
    <t>Körösistrasse 21</t>
  </si>
  <si>
    <t>Graz</t>
  </si>
  <si>
    <t>Autriche</t>
  </si>
  <si>
    <t>00.43.650.4013979</t>
  </si>
  <si>
    <t>nicole.kuss@stadt.graz.at</t>
  </si>
  <si>
    <t>Schäfer</t>
  </si>
  <si>
    <t>Friedemann</t>
  </si>
  <si>
    <t>Hauptstrasse 243</t>
  </si>
  <si>
    <t>D-72525</t>
  </si>
  <si>
    <t>Münsingen</t>
  </si>
  <si>
    <t>00.49.172.712.7778</t>
  </si>
  <si>
    <t>00.49.7381.7898612</t>
  </si>
  <si>
    <t>frieder.schaefer@gmx.de</t>
  </si>
  <si>
    <t>2p 3 chien</t>
  </si>
  <si>
    <t xml:space="preserve">Paul Ehrlich Strasse 50, </t>
  </si>
  <si>
    <t xml:space="preserve">D-41540  </t>
  </si>
  <si>
    <t>Dormagen</t>
  </si>
  <si>
    <t>00.49.15164722450</t>
  </si>
  <si>
    <t xml:space="preserve">to.m@me.com </t>
  </si>
  <si>
    <t>Brenner Sasake</t>
  </si>
  <si>
    <t>Catherine</t>
  </si>
  <si>
    <t>Untersbreitenstrasse 12</t>
  </si>
  <si>
    <t>CH-8454</t>
  </si>
  <si>
    <t>Buchberg</t>
  </si>
  <si>
    <t>00.41.796341561</t>
  </si>
  <si>
    <t>joyo67_04@yahoo.com</t>
  </si>
  <si>
    <t>Steiner</t>
  </si>
  <si>
    <t>Alwin</t>
  </si>
  <si>
    <t>Brunnenweg 15</t>
  </si>
  <si>
    <t>D-74740</t>
  </si>
  <si>
    <t>Adelsheim-Leibenstadt</t>
  </si>
  <si>
    <t>00.49.15111014165</t>
  </si>
  <si>
    <t>00.49.170.1667437</t>
  </si>
  <si>
    <t>alwin_steiner@gmx.de</t>
  </si>
  <si>
    <t xml:space="preserve">4p - 2 chiens </t>
  </si>
  <si>
    <t xml:space="preserve">1 chien - champagne </t>
  </si>
  <si>
    <t>6 dont 2 enfants (1 bébé de 3 mois)</t>
  </si>
  <si>
    <t>Boll</t>
  </si>
  <si>
    <t>cadiou</t>
  </si>
  <si>
    <t>FlipKey</t>
  </si>
  <si>
    <t>Hunde-urlaub</t>
  </si>
  <si>
    <t>annonce 6312</t>
  </si>
  <si>
    <t>Reinhard</t>
  </si>
  <si>
    <t>Zur Heide 7</t>
  </si>
  <si>
    <t>D-06618</t>
  </si>
  <si>
    <t>Naumburg</t>
  </si>
  <si>
    <t>00.49.3445.774205</t>
  </si>
  <si>
    <t>00.49.1733996105</t>
  </si>
  <si>
    <t>2p - 2 chien</t>
  </si>
  <si>
    <t>In de Siep 32</t>
  </si>
  <si>
    <t xml:space="preserve">Michael </t>
  </si>
  <si>
    <t>Lemkens</t>
  </si>
  <si>
    <t xml:space="preserve"> Straelen</t>
  </si>
  <si>
    <t>D-47638</t>
  </si>
  <si>
    <t>Allzmagne</t>
  </si>
  <si>
    <t xml:space="preserve"> 00.49.02834 - 6723</t>
  </si>
  <si>
    <t>4P + 1 labrador</t>
  </si>
  <si>
    <t>4P + 1 chien</t>
  </si>
  <si>
    <t>canderslemkens@aol.com</t>
  </si>
  <si>
    <t>totalité en cash à l'arrviée</t>
  </si>
  <si>
    <t>Hundeurlaub</t>
  </si>
  <si>
    <t>Palm</t>
  </si>
  <si>
    <t>Maarkus</t>
  </si>
  <si>
    <t>Kreuzstr. 64</t>
  </si>
  <si>
    <t>D-45468</t>
  </si>
  <si>
    <t>Mülheim</t>
  </si>
  <si>
    <t>00.49.175.5203883</t>
  </si>
  <si>
    <t>markuspalm@hotmail.de</t>
  </si>
  <si>
    <t>5p - 2 chiens</t>
  </si>
  <si>
    <t>Nadia</t>
  </si>
  <si>
    <t>Ost Strasse 75a</t>
  </si>
  <si>
    <t>D-40667</t>
  </si>
  <si>
    <t>Meerbusch</t>
  </si>
  <si>
    <t>00.49.2132.71223</t>
  </si>
  <si>
    <t>00.49.163.6042337</t>
  </si>
  <si>
    <t>nadia.koesters@gmx.de</t>
  </si>
  <si>
    <t>2p+ 1 chien</t>
  </si>
  <si>
    <t>hundeurlaub facebook</t>
  </si>
  <si>
    <t>Köster</t>
  </si>
  <si>
    <t>Sinn</t>
  </si>
  <si>
    <t>Annweilerstrasse 18b</t>
  </si>
  <si>
    <t>D-76829</t>
  </si>
  <si>
    <t>Landau</t>
  </si>
  <si>
    <t>00.49.17630721669</t>
  </si>
  <si>
    <t>unsinnsabine@web.de</t>
  </si>
  <si>
    <t>2p-2chiens</t>
  </si>
  <si>
    <t>Hochburgerstr. 4</t>
  </si>
  <si>
    <t xml:space="preserve">Claudia </t>
  </si>
  <si>
    <t>Faber</t>
  </si>
  <si>
    <t xml:space="preserve"> Vörstetten</t>
  </si>
  <si>
    <t>D-79279</t>
  </si>
  <si>
    <t xml:space="preserve"> 00.49.7666 - 937 90 21</t>
  </si>
  <si>
    <t>faber@freiburger-buchhalter.com</t>
  </si>
  <si>
    <t>Henrich</t>
  </si>
  <si>
    <t>Stefan &amp; Caroline</t>
  </si>
  <si>
    <t>Amselweg 16</t>
  </si>
  <si>
    <t>D-76456</t>
  </si>
  <si>
    <t>Kuppenheim</t>
  </si>
  <si>
    <t>00.49.1739777515</t>
  </si>
  <si>
    <t>stef-heinrich@web.de</t>
  </si>
  <si>
    <t>2p-1chien</t>
  </si>
  <si>
    <t>Magdelena</t>
  </si>
  <si>
    <t>Linakstrasse 39</t>
  </si>
  <si>
    <t>DA-8051</t>
  </si>
  <si>
    <t>00.436606151339</t>
  </si>
  <si>
    <t>anny_393@gmx.at</t>
  </si>
  <si>
    <t>4p 1 chien</t>
  </si>
  <si>
    <t>icloud : arinternatioal@orange.fr - Amoco123</t>
  </si>
  <si>
    <t>martindoherr@t-online.de</t>
  </si>
  <si>
    <t>Groupama</t>
  </si>
  <si>
    <t>Malya</t>
  </si>
  <si>
    <t>Ryser</t>
  </si>
  <si>
    <t>Ittigenstrasse 2A</t>
  </si>
  <si>
    <t>CH-3063</t>
  </si>
  <si>
    <t>Ittigen</t>
  </si>
  <si>
    <t>00.41.767491900</t>
  </si>
  <si>
    <t>00.41.31.921.76.88</t>
  </si>
  <si>
    <t>ryser.ittigen@bluewin.ch</t>
  </si>
  <si>
    <t>4p adultes + 2 chiens</t>
  </si>
  <si>
    <t>Ritter</t>
  </si>
  <si>
    <t>Neubergstrasse 11</t>
  </si>
  <si>
    <t>D-77955</t>
  </si>
  <si>
    <t>Ettenheim</t>
  </si>
  <si>
    <t>00.49.7822780700</t>
  </si>
  <si>
    <t>00.49.171.4877366</t>
  </si>
  <si>
    <t>beateritter@t-online.de</t>
  </si>
  <si>
    <t>4p - 3 chiens</t>
  </si>
  <si>
    <t>xavier.cadiou@wanadoo.fr</t>
  </si>
  <si>
    <t>arinternartional@orange.fr</t>
  </si>
  <si>
    <t>Kass</t>
  </si>
  <si>
    <t>Lara</t>
  </si>
  <si>
    <t>13 Grand Rue</t>
  </si>
  <si>
    <t>00.235.661.561.990</t>
  </si>
  <si>
    <t>lara.kass@gmail.com</t>
  </si>
  <si>
    <t>2P + 4 chiens</t>
  </si>
  <si>
    <t>xavier.cadiou@wanadoo.fr amoco1</t>
  </si>
  <si>
    <t>Flipkey</t>
  </si>
  <si>
    <t>3p</t>
  </si>
  <si>
    <t>retour 2015 &amp; 2016</t>
  </si>
  <si>
    <t>orange</t>
  </si>
  <si>
    <t>Kellenberger</t>
  </si>
  <si>
    <t>CH-1789</t>
  </si>
  <si>
    <t>00.41.79.4135749</t>
  </si>
  <si>
    <t>b.kellenberger@outlook.com</t>
  </si>
  <si>
    <t>2 dames - 4 chiens</t>
  </si>
  <si>
    <t>Lugnorre</t>
  </si>
  <si>
    <t>Route de la Crausa 37</t>
  </si>
  <si>
    <t>totalité en cash à l'arrviée ?</t>
  </si>
  <si>
    <t>reporte 2019</t>
  </si>
  <si>
    <t>4p - 2 chiens  - prennent le ménage</t>
  </si>
  <si>
    <t>Fulling</t>
  </si>
  <si>
    <t>Marion</t>
  </si>
  <si>
    <t>Lommessemstrasse 44</t>
  </si>
  <si>
    <t>D-52353</t>
  </si>
  <si>
    <t>Düren</t>
  </si>
  <si>
    <t>00.49.2421495651</t>
  </si>
  <si>
    <t>00.49.1520.4502824</t>
  </si>
  <si>
    <t>mayon23@gmx.de</t>
  </si>
  <si>
    <t>3P, 3 chiens</t>
  </si>
  <si>
    <t>totalité cash à l'arrivée</t>
  </si>
  <si>
    <t xml:space="preserve">3 p dont 1 de 90 ans (femmes)  - 1 couple </t>
  </si>
  <si>
    <t>cleder@orange.fr</t>
  </si>
  <si>
    <t>urlaub-Cadiou</t>
  </si>
  <si>
    <t>2019 - Cléder</t>
  </si>
  <si>
    <t>Nelle</t>
  </si>
  <si>
    <t>Dirk</t>
  </si>
  <si>
    <t>Segeberger Strasse 15</t>
  </si>
  <si>
    <t>D-23858</t>
  </si>
  <si>
    <t>Reinfeld</t>
  </si>
  <si>
    <t>00.49.172 6344407</t>
  </si>
  <si>
    <t>d.nelle@icloud.com</t>
  </si>
  <si>
    <t>4P 8, 14 ans</t>
  </si>
  <si>
    <t>pro</t>
  </si>
  <si>
    <t>Thebault</t>
  </si>
  <si>
    <t>Ludovic</t>
  </si>
  <si>
    <t>Else Epstein-Weg 2a</t>
  </si>
  <si>
    <t>D-60435</t>
  </si>
  <si>
    <t>Frankfurt am Main</t>
  </si>
  <si>
    <t>00.49.160.964. 51 31</t>
  </si>
  <si>
    <t>ludivicthebault@yahoo.com</t>
  </si>
  <si>
    <t>Marco</t>
  </si>
  <si>
    <t>ImWeihertal 13</t>
  </si>
  <si>
    <t>D-93173</t>
  </si>
  <si>
    <t>Wenzenback</t>
  </si>
  <si>
    <t>00.49.9407.812432</t>
  </si>
  <si>
    <t>00.49.151.22269239</t>
  </si>
  <si>
    <t>m.inhafer@live.de</t>
  </si>
  <si>
    <t>à voir si cash à l'arrivée</t>
  </si>
  <si>
    <t>Hoffmann</t>
  </si>
  <si>
    <t>Birgit</t>
  </si>
  <si>
    <t>Schlattweg 13</t>
  </si>
  <si>
    <t>D-75447</t>
  </si>
  <si>
    <t>Sternenfels</t>
  </si>
  <si>
    <t>00.49.152.31067199</t>
  </si>
  <si>
    <t>mail@birgithoffmann.com</t>
  </si>
  <si>
    <t>2p- 1chien</t>
  </si>
  <si>
    <t>contrat: 39748665</t>
  </si>
  <si>
    <t>Amoco1234567!</t>
  </si>
  <si>
    <t>15 96 657 704 390</t>
  </si>
  <si>
    <t>Hersperger</t>
  </si>
  <si>
    <t>Christian &amp; Tamara</t>
  </si>
  <si>
    <t>tamara.d.hersperger@gmail.com</t>
  </si>
  <si>
    <t>Alle Bergstrasse 160</t>
  </si>
  <si>
    <t>D-8707</t>
  </si>
  <si>
    <t>Uetikon am See</t>
  </si>
  <si>
    <t>00.41792579928</t>
  </si>
  <si>
    <t>impots</t>
  </si>
  <si>
    <t>n'est pas venue mais a payé !</t>
  </si>
  <si>
    <t>michelle.schneider@ptworldwide.de</t>
  </si>
  <si>
    <t xml:space="preserve">Schneider </t>
  </si>
  <si>
    <t>Michelle</t>
  </si>
  <si>
    <t>Lerchenweg 4b</t>
  </si>
  <si>
    <t>D-35647</t>
  </si>
  <si>
    <t>Waldsolms</t>
  </si>
  <si>
    <t>00.49 171 7200372</t>
  </si>
  <si>
    <t>2 chiens - champagne</t>
  </si>
  <si>
    <t>Hunde</t>
  </si>
  <si>
    <t>Alexandra &amp; Heiko</t>
  </si>
  <si>
    <t>Holunderweg 8</t>
  </si>
  <si>
    <t>D-29313</t>
  </si>
  <si>
    <t>Oldau</t>
  </si>
  <si>
    <t>00 49 162 76 15706</t>
  </si>
  <si>
    <t>luna8311@googlemail.com</t>
  </si>
  <si>
    <t>Schloms</t>
  </si>
  <si>
    <t>Döring</t>
  </si>
  <si>
    <t>Christian</t>
  </si>
  <si>
    <t>Talweg 1a</t>
  </si>
  <si>
    <t>D-69483</t>
  </si>
  <si>
    <t>Wald-Michelbach</t>
  </si>
  <si>
    <t>allemange</t>
  </si>
  <si>
    <t>00.49.179.6759162</t>
  </si>
  <si>
    <t>cdoering@mailbox.org</t>
  </si>
  <si>
    <t>3 chiens + 2p</t>
  </si>
  <si>
    <t>urssaf</t>
  </si>
  <si>
    <t>7CXWB4H4</t>
  </si>
  <si>
    <t>Zobjack</t>
  </si>
  <si>
    <t>Kirchstrasse 4</t>
  </si>
  <si>
    <t>D-38272</t>
  </si>
  <si>
    <t>Burgdorf</t>
  </si>
  <si>
    <t>00 49 157 868 430 27</t>
  </si>
  <si>
    <t>zobjackm@yahoo.de</t>
  </si>
  <si>
    <t>1 chien (gratuit) 3 filles 8 10 11</t>
  </si>
  <si>
    <t>CA - 2019</t>
  </si>
  <si>
    <t>Hochreiter</t>
  </si>
  <si>
    <t>Sylvia</t>
  </si>
  <si>
    <t>Blankenbachring 20</t>
  </si>
  <si>
    <t>D-36148</t>
  </si>
  <si>
    <t>Kalbach</t>
  </si>
  <si>
    <t>00 49 172 45 82 514</t>
  </si>
  <si>
    <t>shochreiter@gmx.de</t>
  </si>
  <si>
    <t>2p 2 chiens</t>
  </si>
  <si>
    <t>670 Crédit agricole</t>
  </si>
  <si>
    <t>745 en septembre</t>
  </si>
  <si>
    <t>Infoher</t>
  </si>
  <si>
    <t>1500 le 27/10</t>
  </si>
  <si>
    <t>Marinahoffmann82@aol.com</t>
  </si>
  <si>
    <t>Martina881979@hotmail.de</t>
  </si>
  <si>
    <t>Usmotorcycles@web.de</t>
  </si>
  <si>
    <t>alkel72@googlemail.com</t>
  </si>
  <si>
    <t>skotschy@aol.com</t>
  </si>
  <si>
    <t>mechthild-neumueller@web.de</t>
  </si>
  <si>
    <t>funandjoy83@googlemail.com</t>
  </si>
  <si>
    <t>nadine.kretz@gmx.de</t>
  </si>
  <si>
    <t>bruno.brandl@yahoo.de</t>
  </si>
  <si>
    <t>marion.donath@web.de</t>
  </si>
  <si>
    <t>mlueck71@gmail.com</t>
  </si>
  <si>
    <t>brittab6@gmail.com</t>
  </si>
  <si>
    <t>Arancha1209@aol.com</t>
  </si>
  <si>
    <t>mail@katharinaklimza.de</t>
  </si>
  <si>
    <t>Julia.dose@gmx.de</t>
  </si>
  <si>
    <t>k.p.moeller@t-online.de</t>
  </si>
  <si>
    <t>wickwick@t-online.de</t>
  </si>
  <si>
    <t>dauphintania@me.com</t>
  </si>
  <si>
    <t>Nadja.kathrin.engel@icloud.com</t>
  </si>
  <si>
    <t>c.najda@t-online.de</t>
  </si>
  <si>
    <t>kieksi77@yahoo.de</t>
  </si>
  <si>
    <t>bgm@scheibbs.gv.at</t>
  </si>
  <si>
    <t>Monrade@aol.com</t>
  </si>
  <si>
    <t>susannefandre@gmx.de</t>
  </si>
  <si>
    <t>k.sonnenfeld92@gmail.com</t>
  </si>
  <si>
    <t>s-dreger@arcor.de</t>
  </si>
  <si>
    <t>info@guellergravuren.ch</t>
  </si>
  <si>
    <t>dietmar_juergens@t-online.de</t>
  </si>
  <si>
    <t>ch.weiler63@web.de</t>
  </si>
  <si>
    <t>breel1401@web.de</t>
  </si>
  <si>
    <t>alexandra.unz@gmx.de</t>
  </si>
  <si>
    <t>s.niess3107@gmail.com</t>
  </si>
  <si>
    <t>capitainha@t-online.de</t>
  </si>
  <si>
    <t>gregfabi@me.com</t>
  </si>
  <si>
    <t>sandy.ramer@gmx.ch</t>
  </si>
  <si>
    <t>B.Winter15@googlemail.com</t>
  </si>
  <si>
    <t>hein.silke@kabelmail.de</t>
  </si>
  <si>
    <t>jgliga123@mailbox.com</t>
  </si>
  <si>
    <t>Kimberley0911@gmail.com</t>
  </si>
  <si>
    <t>u.lawrenz@gmx.de</t>
  </si>
  <si>
    <t>filjanele@googlemail.com</t>
  </si>
  <si>
    <t>regula.bauriedl@gmx.ch</t>
  </si>
  <si>
    <t>j.blienert@kinderheilstaette.de</t>
  </si>
  <si>
    <t>Christiane.egner@web.de</t>
  </si>
  <si>
    <t>brigi212@gmail.com</t>
  </si>
  <si>
    <t>s.gieseud.hartung@t-online.de</t>
  </si>
  <si>
    <t>Prospects Hunde Urlaub.net</t>
  </si>
  <si>
    <t>monika.puhe@gmx.de</t>
  </si>
  <si>
    <t>steffi2109@googlemail.com</t>
  </si>
  <si>
    <t>melaniefolta@gmx.de</t>
  </si>
  <si>
    <t>corneliameyerhoff@freenet.de</t>
  </si>
  <si>
    <t>jenniferkelm.91@web.de</t>
  </si>
  <si>
    <t>t.gottschlich@gmx.com</t>
  </si>
  <si>
    <t>petra_schindler-wilkins@web.de</t>
  </si>
  <si>
    <t>kiki@istanders.de</t>
  </si>
  <si>
    <t>vera.hoebusch@t-online.de</t>
  </si>
  <si>
    <t>kh9677@gmail.com</t>
  </si>
  <si>
    <t>r.juhra@yahoo.de</t>
  </si>
  <si>
    <t>Schmid.220575@web.de</t>
  </si>
  <si>
    <t>d.luwald@web.de</t>
  </si>
  <si>
    <t>kopp_nicole76@yahoo.de</t>
  </si>
  <si>
    <t>brenntano88@gmail.com</t>
  </si>
  <si>
    <t>rocky.caro2015@gmail.de</t>
  </si>
  <si>
    <t>ramona.mandok@web.de</t>
  </si>
  <si>
    <t>patrick.varga1@gmail.com</t>
  </si>
  <si>
    <t>sabine.vutirakis@yahoo.com</t>
  </si>
  <si>
    <t>solmersitz@t-online.de</t>
  </si>
  <si>
    <t>stefanie.opitz@gmx.net</t>
  </si>
  <si>
    <t>Kiam73@t-online.de</t>
  </si>
  <si>
    <t>ingo@naturheilpraxis-rasch.de</t>
  </si>
  <si>
    <t>michaela.munsch@gmx.de</t>
  </si>
  <si>
    <t>dworschak-viktualienmarkt@t-online.de</t>
  </si>
  <si>
    <t>marion.koenig@holzbau-trier.com</t>
  </si>
  <si>
    <t>meindl12@t-online.de</t>
  </si>
  <si>
    <t>angel-roman@gmx.de</t>
  </si>
  <si>
    <t>biggi.hess@t-online.de</t>
  </si>
  <si>
    <t>sabinec@arcor.de</t>
  </si>
  <si>
    <t>anjakuehn1981@live.de</t>
  </si>
  <si>
    <t>saschafrank83@gmx.de</t>
  </si>
  <si>
    <t>u.momberg@web.de</t>
  </si>
  <si>
    <t>Schaub-Diersburg@t-online.de</t>
  </si>
  <si>
    <t>Kirsten.Funck@web.de</t>
  </si>
  <si>
    <t>to.m@me.com</t>
  </si>
  <si>
    <t>tabatha.braun@gmx.ch</t>
  </si>
  <si>
    <t>Arielle071@web.de</t>
  </si>
  <si>
    <t>tonygalli@gmx.de</t>
  </si>
  <si>
    <t>doro.mertin@gmx.de</t>
  </si>
  <si>
    <t>charlotte.pascoletti@gmail.com</t>
  </si>
  <si>
    <t>bonny10878@gmx.de</t>
  </si>
  <si>
    <t>ralphschindler@gmx.de</t>
  </si>
  <si>
    <t>monika.kluger@unitybox.de</t>
  </si>
  <si>
    <t>j.petra@t-online.de</t>
  </si>
  <si>
    <t>m.schulli@web.de</t>
  </si>
  <si>
    <t>jochen.schmitt1974@gmail.com</t>
  </si>
  <si>
    <t>silviavielhauer@airconv.de</t>
  </si>
  <si>
    <t>Arne.Kirchner@ahag-bochum.de</t>
  </si>
  <si>
    <t>monika-herzig@bluewin.ch</t>
  </si>
  <si>
    <t>sandra.thillmann@gmail.com</t>
  </si>
  <si>
    <t>NikoWalter49@yahoo.de</t>
  </si>
  <si>
    <t>lotharemmerling@kabelmail.de</t>
  </si>
  <si>
    <t>isabel.boecking@gmx.de</t>
  </si>
  <si>
    <t>anja.teppler@t-online.de</t>
  </si>
  <si>
    <t>robinschmidtke@gmx.de</t>
  </si>
  <si>
    <t>gruenewald.balu@t-online.de</t>
  </si>
  <si>
    <t>michael@ib-burkhart.de</t>
  </si>
  <si>
    <t>anette.kaeser@yahoo.com</t>
  </si>
  <si>
    <t>gabiundriva@t-online.de</t>
  </si>
  <si>
    <t>fanuto@t-online.de</t>
  </si>
  <si>
    <t>info@dogschool.de</t>
  </si>
  <si>
    <t>FEWO-Touristik</t>
  </si>
  <si>
    <t>aline.dino@hotmail.com</t>
  </si>
  <si>
    <t>xexaxa@gmx.net</t>
  </si>
  <si>
    <t>Brigitte.vw@bluewin.ch</t>
  </si>
  <si>
    <t>yvonneschoene@aol.com</t>
  </si>
  <si>
    <t>Kati01111980@gmx.de</t>
  </si>
  <si>
    <t>rcln-bauer@t-online.de</t>
  </si>
  <si>
    <t>steffi.kruppa@arcor.de</t>
  </si>
  <si>
    <t>inken_weiss@web.de</t>
  </si>
  <si>
    <t>wpg58@web.de</t>
  </si>
  <si>
    <t>rbodenhausen@gmx.de</t>
  </si>
  <si>
    <t>urlauber2018@gmx.de</t>
  </si>
  <si>
    <t>sweti@frankseemann.de</t>
  </si>
  <si>
    <t>Kinski-anais@web.de</t>
  </si>
  <si>
    <t>carola.klaiber@gmail.com</t>
  </si>
  <si>
    <t>kerstin@barcelona4u.com</t>
  </si>
  <si>
    <t>kolodziej@live.at</t>
  </si>
  <si>
    <t>jacobpauline@web.de</t>
  </si>
  <si>
    <t>samanthabaumann@hotmail.com</t>
  </si>
  <si>
    <t>heinke.waldbaur@gmx.de</t>
  </si>
  <si>
    <t>andre.katja@googlemail.com</t>
  </si>
  <si>
    <t>ana.pais@online.de</t>
  </si>
  <si>
    <t>serkan.oezdal@allianz.de</t>
  </si>
  <si>
    <t>kakatschinka@yahoo.com</t>
  </si>
  <si>
    <t>yvi281@gmx.de</t>
  </si>
  <si>
    <t>rakato-arndt@t-online.de</t>
  </si>
  <si>
    <t>katjamr@posteo.de</t>
  </si>
  <si>
    <t>Dr.ulrike.deike@gmail.com</t>
  </si>
  <si>
    <t>vivi-andy@gmx.de</t>
  </si>
  <si>
    <t>Kobras@gmx.net</t>
  </si>
  <si>
    <t>Trebels@aol.com</t>
  </si>
  <si>
    <t>jeannette.hadam@googlemail.com</t>
  </si>
  <si>
    <t>uli_walzik@hotmail.de</t>
  </si>
  <si>
    <t>g.rothuber@modul4.at</t>
  </si>
  <si>
    <t>meixner_martina@web.de</t>
  </si>
  <si>
    <t>t.kutzner@t-online.de</t>
  </si>
  <si>
    <t>bruellheidi@gmx.net</t>
  </si>
  <si>
    <t>anna.pavlova@gmx.de</t>
  </si>
  <si>
    <t>hillemacher@t-online.de</t>
  </si>
  <si>
    <t>regula456@gmail.com</t>
  </si>
  <si>
    <t>fredie1850@gmail.com</t>
  </si>
  <si>
    <t>microsoft</t>
  </si>
  <si>
    <t>Saner/Hirschi</t>
  </si>
  <si>
    <t>Lucia &amp; Dieter</t>
  </si>
  <si>
    <t>Dorfstrasse 20</t>
  </si>
  <si>
    <t>00 49 79 605 89 97 / 79 422 92 58</t>
  </si>
  <si>
    <t>sanerlucia@gmail.com</t>
  </si>
  <si>
    <t>2019 - Plouescat</t>
  </si>
  <si>
    <t>Schmidt</t>
  </si>
  <si>
    <t>Svetlana</t>
  </si>
  <si>
    <t>Wulmstorfer Strasse 54</t>
  </si>
  <si>
    <t>D-21629</t>
  </si>
  <si>
    <t>Neu Wulmstorf</t>
  </si>
  <si>
    <t>00.49.176 49000666</t>
  </si>
  <si>
    <t>waldemar.schmidt@pflegenundwohnen.de</t>
  </si>
  <si>
    <t>Klever</t>
  </si>
  <si>
    <t>Daniela</t>
  </si>
  <si>
    <t>Lessingstrasse 15</t>
  </si>
  <si>
    <t>D-50321</t>
  </si>
  <si>
    <t>Brühl</t>
  </si>
  <si>
    <t>00 49 174 176 3423</t>
  </si>
  <si>
    <t>danysilver812@gmail.com</t>
  </si>
  <si>
    <t>Taxe de séjour</t>
  </si>
  <si>
    <t>Amoco123!</t>
  </si>
  <si>
    <t>Maren</t>
  </si>
  <si>
    <t>In denKuhlen 21</t>
  </si>
  <si>
    <t>D-52152</t>
  </si>
  <si>
    <t>Simmerath</t>
  </si>
  <si>
    <t>00.49.1573136669</t>
  </si>
  <si>
    <t>Hundeurlaiub</t>
  </si>
  <si>
    <t>Christes</t>
  </si>
  <si>
    <t>Susanne &amp; Holger</t>
  </si>
  <si>
    <t>Garzweiler Allee 21</t>
  </si>
  <si>
    <t>00 49 177 6666223</t>
  </si>
  <si>
    <t>christes@unity-mail.de</t>
  </si>
  <si>
    <t>4 11 &amp; 14 ans</t>
  </si>
  <si>
    <t>Livebox</t>
  </si>
  <si>
    <t>http://192.168.1.1/</t>
  </si>
  <si>
    <t>Friedrich</t>
  </si>
  <si>
    <t>Geraldine</t>
  </si>
  <si>
    <t>Ilsenburger Strasse 4</t>
  </si>
  <si>
    <t>D-38871</t>
  </si>
  <si>
    <t>Veckenstedt</t>
  </si>
  <si>
    <t>00.49.1755901513</t>
  </si>
  <si>
    <t>geraldine_friedrich@hotmail.com</t>
  </si>
  <si>
    <t>6p- 2 chiens</t>
  </si>
  <si>
    <t>David</t>
  </si>
  <si>
    <t>Tillmannshof 12a</t>
  </si>
  <si>
    <t>D-50374</t>
  </si>
  <si>
    <t>Erftstadt</t>
  </si>
  <si>
    <t>00.49.1736282742</t>
  </si>
  <si>
    <t>david.mueller@gmx.org</t>
  </si>
  <si>
    <t>2 ou 4 p + 1 bébé</t>
  </si>
  <si>
    <t>Amoco12345!</t>
  </si>
  <si>
    <t>dropbox</t>
  </si>
  <si>
    <t>Kleist</t>
  </si>
  <si>
    <t>Joachim</t>
  </si>
  <si>
    <t>Im Wiesengrund 9</t>
  </si>
  <si>
    <t>D-71277</t>
  </si>
  <si>
    <t>Rutescheim</t>
  </si>
  <si>
    <t>00.49.172 54597626</t>
  </si>
  <si>
    <t>joachim.kleist@gmx.net</t>
  </si>
  <si>
    <t>cash à l'arrviée</t>
  </si>
  <si>
    <t>2020 - Cléder</t>
  </si>
  <si>
    <t>CA - 2020</t>
  </si>
  <si>
    <t>Scheppebnsiefen</t>
  </si>
  <si>
    <t>Tanja</t>
  </si>
  <si>
    <t>Odenthaler Strasse 124</t>
  </si>
  <si>
    <t>D-51465</t>
  </si>
  <si>
    <t>Bergisch Gldbach</t>
  </si>
  <si>
    <t>00 49 22022516416</t>
  </si>
  <si>
    <t>00 49178 3136506</t>
  </si>
  <si>
    <t>tanjaS1990@gmx.net</t>
  </si>
  <si>
    <t>6p 2 chiens</t>
  </si>
  <si>
    <t>Email fr</t>
  </si>
  <si>
    <t>2p + 2 chien</t>
  </si>
  <si>
    <t>Thierry</t>
  </si>
  <si>
    <t>Amirgholami</t>
  </si>
  <si>
    <t>Schulstrasse 6</t>
  </si>
  <si>
    <t>D-55234</t>
  </si>
  <si>
    <t>Monzernheim</t>
  </si>
  <si>
    <t>00.49 176 967 60 98</t>
  </si>
  <si>
    <t>thierry.amirgholami@outlook.de</t>
  </si>
  <si>
    <t>4p + 1 chien</t>
  </si>
  <si>
    <t>595 le 27/03/2019</t>
  </si>
  <si>
    <t>Cash</t>
  </si>
  <si>
    <t>TOTAL</t>
  </si>
  <si>
    <t>Martine</t>
  </si>
  <si>
    <t>Deacker-Schneider</t>
  </si>
  <si>
    <t>82 rue Dicks Lentz</t>
  </si>
  <si>
    <t>L-50</t>
  </si>
  <si>
    <t>Differdange</t>
  </si>
  <si>
    <t>00 352 691511414</t>
  </si>
  <si>
    <t>zazoo382003@yahoo.de</t>
  </si>
  <si>
    <t>Lütscher</t>
  </si>
  <si>
    <t>Hofstrasse 14</t>
  </si>
  <si>
    <t>DCH-9411</t>
  </si>
  <si>
    <t>Reute</t>
  </si>
  <si>
    <t>00 41 79668 43 61</t>
  </si>
  <si>
    <t>00 41 71 891 24 08</t>
  </si>
  <si>
    <t>pedro-l@bluemail.ch</t>
  </si>
  <si>
    <t>3p 2 chiens</t>
  </si>
  <si>
    <t>Mangarano</t>
  </si>
  <si>
    <t>Ch. Des prés 9</t>
  </si>
  <si>
    <t>CH-2606</t>
  </si>
  <si>
    <t>Corgémont</t>
  </si>
  <si>
    <t>00 41 78 853 33 20</t>
  </si>
  <si>
    <t>nadja@auraseta.ch</t>
  </si>
  <si>
    <t>4p + 1 chien et 1 chat</t>
  </si>
  <si>
    <t>Peter &amp; Regula</t>
  </si>
  <si>
    <t>Hannelore</t>
  </si>
  <si>
    <t>Hornig</t>
  </si>
  <si>
    <t>Am Dornbirsch 32</t>
  </si>
  <si>
    <t>D-48163</t>
  </si>
  <si>
    <t>Münster</t>
  </si>
  <si>
    <t>00 49 160 93823242</t>
  </si>
  <si>
    <t>hannelore.hornig@boekenhorst.de</t>
  </si>
  <si>
    <t>4p 3 chiens</t>
  </si>
  <si>
    <t>Lukas</t>
  </si>
  <si>
    <t>a.lukas@t-online.de</t>
  </si>
  <si>
    <t>Helen-Keller-Str. 9</t>
  </si>
  <si>
    <t xml:space="preserve">D-89231 </t>
  </si>
  <si>
    <t>Neu-Ulm</t>
  </si>
  <si>
    <t>00 49 7311537748</t>
  </si>
  <si>
    <t>Harmonie Mutuelle</t>
  </si>
  <si>
    <t>Siret</t>
  </si>
  <si>
    <t>GN810998500B01</t>
  </si>
  <si>
    <t>Giesing</t>
  </si>
  <si>
    <t>Schneiderstrasse 57</t>
  </si>
  <si>
    <t>D-44229</t>
  </si>
  <si>
    <t>Dortmund</t>
  </si>
  <si>
    <t>00 49 231 72 50 812</t>
  </si>
  <si>
    <t>00 49 160 84 26677</t>
  </si>
  <si>
    <t>giesing-wegner@web.de</t>
  </si>
  <si>
    <t>ovh</t>
  </si>
  <si>
    <t>Schönberger</t>
  </si>
  <si>
    <t>Mandy</t>
  </si>
  <si>
    <t>Berliner Strasse 54</t>
  </si>
  <si>
    <t>bonjour.mandy18@gmail.com</t>
  </si>
  <si>
    <t>facebook</t>
  </si>
  <si>
    <t>495 le 17/06/2019</t>
  </si>
  <si>
    <t>172,5 ok</t>
  </si>
  <si>
    <t>Heydrich</t>
  </si>
  <si>
    <t>Torsten</t>
  </si>
  <si>
    <t>Villestrasse 36</t>
  </si>
  <si>
    <t>D-50169</t>
  </si>
  <si>
    <t>Kerpen</t>
  </si>
  <si>
    <t>00 49 172 252 7460</t>
  </si>
  <si>
    <t>00 49 2273 911 406</t>
  </si>
  <si>
    <t>the217@web.de</t>
  </si>
  <si>
    <t>2 chiens, 5!</t>
  </si>
  <si>
    <t>Amoco111</t>
  </si>
  <si>
    <t>Microsoft onedrive</t>
  </si>
  <si>
    <t>ca</t>
  </si>
  <si>
    <t>ka.li1@gmx.de</t>
  </si>
  <si>
    <t>Schlangen</t>
  </si>
  <si>
    <t>Klaus</t>
  </si>
  <si>
    <t>Peterstrasse 101</t>
  </si>
  <si>
    <t>D-47475</t>
  </si>
  <si>
    <t>Kamp Lintfort</t>
  </si>
  <si>
    <t>00.49.178.13.22.535</t>
  </si>
  <si>
    <t>00.49.157.30.191.604</t>
  </si>
  <si>
    <t>100% cash arrivée</t>
  </si>
  <si>
    <t>Calzawara</t>
  </si>
  <si>
    <t>Am Dyckhuser Baum 44</t>
  </si>
  <si>
    <t>00 49 175 54650444</t>
  </si>
  <si>
    <t>dirk@calzawara.de</t>
  </si>
  <si>
    <t>6 - 13 &amp; 7</t>
  </si>
  <si>
    <t>6p - 4 ans et 23 mois</t>
  </si>
  <si>
    <t>2020 - Plouescat</t>
  </si>
  <si>
    <t>Hänel</t>
  </si>
  <si>
    <t>Ulrike &amp; Andreas</t>
  </si>
  <si>
    <t>Teutoburger Strasse 92</t>
  </si>
  <si>
    <t>00.49.151.426 78703</t>
  </si>
  <si>
    <t>00 49 5246 9330170</t>
  </si>
  <si>
    <t>ulrike@haenel-duepree.de</t>
  </si>
  <si>
    <t>100% cash</t>
  </si>
  <si>
    <t>100% par virement - ok le 23/07/2019</t>
  </si>
  <si>
    <t>Kretzschmar</t>
  </si>
  <si>
    <t>Gesa &amp; Jürgen</t>
  </si>
  <si>
    <t>Heerstrasse 5</t>
  </si>
  <si>
    <t>D-41812</t>
  </si>
  <si>
    <t>Erkelenz</t>
  </si>
  <si>
    <t>00.49.151.41963948</t>
  </si>
  <si>
    <t>gesa.spike@gmx.de</t>
  </si>
  <si>
    <t>3 chiens</t>
  </si>
  <si>
    <t>Apple</t>
  </si>
  <si>
    <t>Amoco1234567</t>
  </si>
  <si>
    <t>Knäble</t>
  </si>
  <si>
    <t>Gerfried</t>
  </si>
  <si>
    <t>Hardenburgstr 13</t>
  </si>
  <si>
    <t>D- 68219</t>
  </si>
  <si>
    <t>Mannheim</t>
  </si>
  <si>
    <t>00.49.17657860979</t>
  </si>
  <si>
    <t>gerfried.knaeble@t-online.de</t>
  </si>
  <si>
    <t>ont annulé le 17/09/2019</t>
  </si>
  <si>
    <t>Zieser</t>
  </si>
  <si>
    <t>Dunja</t>
  </si>
  <si>
    <t>Haltestellenweg 13</t>
  </si>
  <si>
    <t>Leonding</t>
  </si>
  <si>
    <t>00.43.676.84214489</t>
  </si>
  <si>
    <t>dunja.zieser@gmx.net</t>
  </si>
  <si>
    <t>Licker</t>
  </si>
  <si>
    <t>Elisabeth-Kranz Strasse 12</t>
  </si>
  <si>
    <t>D-71640</t>
  </si>
  <si>
    <t>Ludwigsburg</t>
  </si>
  <si>
    <t>00 49 172 9480511</t>
  </si>
  <si>
    <t>fc@licker.de</t>
  </si>
  <si>
    <t>895 le 22/10/2019</t>
  </si>
  <si>
    <t>Siegenthaler</t>
  </si>
  <si>
    <t>Yvonne</t>
  </si>
  <si>
    <t>Dirfstrasse 1a</t>
  </si>
  <si>
    <t>D-3303</t>
  </si>
  <si>
    <t>Ballmoos</t>
  </si>
  <si>
    <t>00 41 793 967 831</t>
  </si>
  <si>
    <t>y.siegenthaler@hotmail.com</t>
  </si>
  <si>
    <t>skype</t>
  </si>
  <si>
    <t>bi-xcadiou</t>
  </si>
  <si>
    <t>cmb pro</t>
  </si>
  <si>
    <t>cmb privé</t>
  </si>
  <si>
    <t>Pauli</t>
  </si>
  <si>
    <t>Schelleingase 19/28</t>
  </si>
  <si>
    <t>AUT-1040</t>
  </si>
  <si>
    <t>Wien</t>
  </si>
  <si>
    <t>00 43 6642479332</t>
  </si>
  <si>
    <t>m.pauli@a1.net</t>
  </si>
  <si>
    <t>Harmonue Mutuelle Perso famille</t>
  </si>
  <si>
    <t>cardinaux</t>
  </si>
  <si>
    <t>C'est 09856</t>
  </si>
  <si>
    <t>Kromschröder</t>
  </si>
  <si>
    <t>Jan</t>
  </si>
  <si>
    <t>Am Prüssree 17</t>
  </si>
  <si>
    <t>D-21514</t>
  </si>
  <si>
    <t>Güster</t>
  </si>
  <si>
    <t>A</t>
  </si>
  <si>
    <t>00 49 4158 8115</t>
  </si>
  <si>
    <t>00 49 177 322 5410</t>
  </si>
  <si>
    <t>jens.kromschroeder@web.de</t>
  </si>
  <si>
    <t>4P - 3 chiens</t>
  </si>
  <si>
    <t>Eilmes/Held</t>
  </si>
  <si>
    <t>André &amp; Evelyne</t>
  </si>
  <si>
    <t>Hofstattächer 6</t>
  </si>
  <si>
    <t>CH-5642</t>
  </si>
  <si>
    <t>Mühlau</t>
  </si>
  <si>
    <t>00 41 56 668 09 24</t>
  </si>
  <si>
    <t>00 41 78 892 88 78</t>
  </si>
  <si>
    <t>andreilmes@bluewin.ch</t>
  </si>
  <si>
    <t>2p - 1 chien</t>
  </si>
  <si>
    <t>ludovicthebault@yahoo.com</t>
  </si>
  <si>
    <t xml:space="preserve">Claudia und Karsten </t>
  </si>
  <si>
    <t>Luckmann</t>
  </si>
  <si>
    <t>Kummetstrasse 5</t>
  </si>
  <si>
    <t>D-49143</t>
  </si>
  <si>
    <t>Bissebndorf</t>
  </si>
  <si>
    <t>00.49.173.7569323</t>
  </si>
  <si>
    <t>info@hof-luckmann.de</t>
  </si>
  <si>
    <t>Aue</t>
  </si>
  <si>
    <t>Talbodenweg 26</t>
  </si>
  <si>
    <t>CH-3700</t>
  </si>
  <si>
    <t>Spiez</t>
  </si>
  <si>
    <t>00 41 792 31 30 70</t>
  </si>
  <si>
    <t>tamaraundmartin@bluewin.ch</t>
  </si>
  <si>
    <t>4p - 2 chien</t>
  </si>
  <si>
    <t>Serrig</t>
  </si>
  <si>
    <t>Jules</t>
  </si>
  <si>
    <t>jules.serrig@gmail.com</t>
  </si>
  <si>
    <t>00,352, 621 149 150</t>
  </si>
  <si>
    <t>1 à 3</t>
  </si>
  <si>
    <t>100 cash arrivée</t>
  </si>
  <si>
    <t>Arnold</t>
  </si>
  <si>
    <t>Jsabelle</t>
  </si>
  <si>
    <t>Bohlackervweg 2</t>
  </si>
  <si>
    <t>CH-5643</t>
  </si>
  <si>
    <t>Sins</t>
  </si>
  <si>
    <t>00,41,78,646,18,17</t>
  </si>
  <si>
    <t>ja@bildhaus.ch</t>
  </si>
  <si>
    <t>Colacicco</t>
  </si>
  <si>
    <t>nicole.colacicco@gmail.com</t>
  </si>
  <si>
    <t>00,41,796324452</t>
  </si>
  <si>
    <t>Kathleen</t>
  </si>
  <si>
    <t>Claudius</t>
  </si>
  <si>
    <t>Hofstrasse 39a</t>
  </si>
  <si>
    <t>D-47798</t>
  </si>
  <si>
    <t>Krefeld</t>
  </si>
  <si>
    <t>00,49,178,350,13,63</t>
  </si>
  <si>
    <t>00,49,21,51,778,351</t>
  </si>
  <si>
    <t>kathleen.claudius@unitybox.de</t>
  </si>
  <si>
    <t>2p+1 chien gratuit</t>
  </si>
  <si>
    <t>CA Cleder</t>
  </si>
  <si>
    <t>CA Plouescat</t>
  </si>
  <si>
    <t>Semaines Cleder</t>
  </si>
  <si>
    <t>Semaines Plouescat</t>
  </si>
  <si>
    <t>Année</t>
  </si>
  <si>
    <t>Miller</t>
  </si>
  <si>
    <t>Ungo &amp; Alexa</t>
  </si>
  <si>
    <t>Markusplatz</t>
  </si>
  <si>
    <t>D-50968</t>
  </si>
  <si>
    <t>Köln</t>
  </si>
  <si>
    <t>alexacgn@gmail.com</t>
  </si>
  <si>
    <t>00,49,171,975,40,48</t>
  </si>
  <si>
    <t>amarrim</t>
  </si>
  <si>
    <t>JgBUKeV</t>
  </si>
  <si>
    <t xml:space="preserve">fiscal </t>
  </si>
  <si>
    <t>Walter</t>
  </si>
  <si>
    <t>Frank</t>
  </si>
  <si>
    <t>Otto Reiniger Strasse 30</t>
  </si>
  <si>
    <t>D-70192</t>
  </si>
  <si>
    <t>Stüttgart</t>
  </si>
  <si>
    <t>00,49,176,973,16687</t>
  </si>
  <si>
    <t>befra.walter@arcor.de</t>
  </si>
  <si>
    <t>4p - 1 chien</t>
  </si>
  <si>
    <t>Julia</t>
  </si>
  <si>
    <t>Fondalinski</t>
  </si>
  <si>
    <t>Vordenner Damm 28</t>
  </si>
  <si>
    <t>D-49565</t>
  </si>
  <si>
    <t>Bramsche</t>
  </si>
  <si>
    <t>00,49,176,313,55,38</t>
  </si>
  <si>
    <t>j.fondalinski@web.de</t>
  </si>
  <si>
    <t>Tatjana</t>
  </si>
  <si>
    <t>Röll</t>
  </si>
  <si>
    <t>Weissdornweg 13</t>
  </si>
  <si>
    <t>D-633303</t>
  </si>
  <si>
    <t>Dreieich</t>
  </si>
  <si>
    <t>00,49,173,3848633</t>
  </si>
  <si>
    <t>tatjana.roell@gmail.com</t>
  </si>
  <si>
    <t>4p - 1 Chien</t>
  </si>
  <si>
    <t>Marina &amp; Mario</t>
  </si>
  <si>
    <t>Mösslinger</t>
  </si>
  <si>
    <t>Villacherstrasse 59/03</t>
  </si>
  <si>
    <t>Aut-9020</t>
  </si>
  <si>
    <t>Klagenfurt</t>
  </si>
  <si>
    <t>00,43,660,4447852</t>
  </si>
  <si>
    <t>moty75510@hotmail.com</t>
  </si>
  <si>
    <t>2-4p</t>
  </si>
  <si>
    <t>2 ou 4</t>
  </si>
  <si>
    <t>Tobias</t>
  </si>
  <si>
    <t>Ralle</t>
  </si>
  <si>
    <t>Isar Strasse 76A</t>
  </si>
  <si>
    <t>00,41,76,802,53,10</t>
  </si>
  <si>
    <t>ralt@swiss.com</t>
  </si>
  <si>
    <t xml:space="preserve">Sylke </t>
  </si>
  <si>
    <t>Küssner</t>
  </si>
  <si>
    <t>Hüllingen 69</t>
  </si>
  <si>
    <t>BE-4760</t>
  </si>
  <si>
    <t>Büllingen</t>
  </si>
  <si>
    <t>00,49,178,2935429</t>
  </si>
  <si>
    <t>00,32,470934902</t>
  </si>
  <si>
    <t>sylke.kuessner@gmail.com</t>
  </si>
  <si>
    <t>CFE</t>
  </si>
  <si>
    <t>Ammaris</t>
  </si>
  <si>
    <t>N°:20200370112626</t>
  </si>
  <si>
    <t>995 le 7/02</t>
  </si>
  <si>
    <t>Paukstat</t>
  </si>
  <si>
    <t>Michael + Bettina</t>
  </si>
  <si>
    <t>Johaenntgesbrucher Weg 5a</t>
  </si>
  <si>
    <t>D-42657</t>
  </si>
  <si>
    <t>Solingen</t>
  </si>
  <si>
    <t>00,49,172,2606146</t>
  </si>
  <si>
    <t>00,49,212,650,06070</t>
  </si>
  <si>
    <t>bettinapaukstat@t-online.de</t>
  </si>
  <si>
    <t>Truffaut</t>
  </si>
  <si>
    <t>Charlotte</t>
  </si>
  <si>
    <t>109 Avenue Franklin</t>
  </si>
  <si>
    <t>Villemomble</t>
  </si>
  <si>
    <t>06,85,43,19,43</t>
  </si>
  <si>
    <t>charlotte.campagnolo@gmail.com</t>
  </si>
  <si>
    <t>3p+1chihe gros</t>
  </si>
  <si>
    <t>lebon coin</t>
  </si>
  <si>
    <t>teams</t>
  </si>
  <si>
    <t>Année 2021</t>
  </si>
  <si>
    <t xml:space="preserve">report CoVid </t>
  </si>
  <si>
    <t>remboursée le 31/03</t>
  </si>
  <si>
    <t>message envoyé le 17 avril</t>
  </si>
  <si>
    <t>Mail le 3 avril pour repousser</t>
  </si>
  <si>
    <t xml:space="preserve">890 - 1 chien </t>
  </si>
  <si>
    <t>chez les parents puis nous</t>
  </si>
  <si>
    <t>remboursée le 21/04</t>
  </si>
  <si>
    <t>Remboursée 595 le 21/04</t>
  </si>
  <si>
    <t>4p 3 chiens - 1190*2+70</t>
  </si>
  <si>
    <t>Caclederplouescat</t>
  </si>
  <si>
    <t>appel-debarquement</t>
  </si>
  <si>
    <t>6 mai: veut repousser en 2021 - 2 semaines</t>
  </si>
  <si>
    <t>remboursée le 6 mai 2020</t>
  </si>
  <si>
    <t>CH-8115</t>
  </si>
  <si>
    <t>Hüttikon</t>
  </si>
  <si>
    <t>Brunnenwisstrasse</t>
  </si>
  <si>
    <t>report du 13 au 27 juin</t>
  </si>
  <si>
    <t>825*2    - 2p + 1 chien</t>
  </si>
  <si>
    <t>Morvan</t>
  </si>
  <si>
    <t>Audrey</t>
  </si>
  <si>
    <t>110 rue des Almandins</t>
  </si>
  <si>
    <t>Fr</t>
  </si>
  <si>
    <t>06,13,96,58,03</t>
  </si>
  <si>
    <t>06,18,16,53,53</t>
  </si>
  <si>
    <t>audrey.morvan77176@gmail.com</t>
  </si>
  <si>
    <t>remboursé 500 le 30/05</t>
  </si>
  <si>
    <t>Touroul-Chevalerie</t>
  </si>
  <si>
    <t>30 rue Macheret</t>
  </si>
  <si>
    <t>Lagny/marne</t>
  </si>
  <si>
    <t>06,07,21,51,08</t>
  </si>
  <si>
    <t>gaelle@touroul.com</t>
  </si>
  <si>
    <t>6p - 1 chien</t>
  </si>
  <si>
    <t>4 ou 6 - 11 et 15 ans</t>
  </si>
  <si>
    <t>Kretschmer</t>
  </si>
  <si>
    <t>Wiesenweg 22a</t>
  </si>
  <si>
    <t xml:space="preserve">D-21376 </t>
  </si>
  <si>
    <t>Salzhausen OT Putensen</t>
  </si>
  <si>
    <t>00,49,176,14147771</t>
  </si>
  <si>
    <t>00,49,41729789454</t>
  </si>
  <si>
    <t>c.kretschmer@terberg-de.de</t>
  </si>
  <si>
    <t>1190 -3p 2 chiens caniches</t>
  </si>
  <si>
    <t>1190 - 2p 1 chien</t>
  </si>
  <si>
    <t xml:space="preserve">890*2 - 1 chien </t>
  </si>
  <si>
    <t>2380 - 6p 2 chiens</t>
  </si>
  <si>
    <t xml:space="preserve">1990 - 1 chien </t>
  </si>
  <si>
    <r>
      <t>00,32,(0)477 774 289</t>
    </r>
    <r>
      <rPr>
        <sz val="8"/>
        <rFont val="Times New Roman"/>
        <family val="1"/>
      </rPr>
      <t xml:space="preserve"> </t>
    </r>
  </si>
  <si>
    <t>Susanne Brindöpke</t>
  </si>
  <si>
    <t xml:space="preserve">Michael Kisthardt </t>
  </si>
  <si>
    <t>tigermotte &lt;tigermotte@mail.de&gt;</t>
  </si>
  <si>
    <t>susannebrindoepke@mail.de</t>
  </si>
  <si>
    <t>00 49171 96 77 180</t>
  </si>
  <si>
    <t>Karlstr. 10</t>
  </si>
  <si>
    <t>5p - 6-8-8</t>
  </si>
  <si>
    <t>Andy &amp; Silke</t>
  </si>
  <si>
    <t>andy-schmidt@gmx.de</t>
  </si>
  <si>
    <t>00,49,151,21233264</t>
  </si>
  <si>
    <t>Lieseloteenstrasse 20,</t>
  </si>
  <si>
    <t>D-66424</t>
  </si>
  <si>
    <t>Homburg</t>
  </si>
  <si>
    <t>00,49,6841,817381</t>
  </si>
  <si>
    <t>5p 2 chiens</t>
  </si>
  <si>
    <t>annulé le 20 juin !</t>
  </si>
  <si>
    <t>995 le 25/06</t>
  </si>
  <si>
    <t>Personnes</t>
  </si>
  <si>
    <t>Chiens</t>
  </si>
  <si>
    <t>nom</t>
  </si>
  <si>
    <t>prenom</t>
  </si>
  <si>
    <t>arrivée</t>
  </si>
  <si>
    <t>départ</t>
  </si>
  <si>
    <t>pays</t>
  </si>
  <si>
    <t>tel</t>
  </si>
  <si>
    <t>mobile</t>
  </si>
  <si>
    <t>divers</t>
  </si>
  <si>
    <t>Marino</t>
  </si>
  <si>
    <t>Schneewittchenweg 9</t>
  </si>
  <si>
    <t>D-82223</t>
  </si>
  <si>
    <t>Eichenau</t>
  </si>
  <si>
    <t>00,49,178,4056901</t>
  </si>
  <si>
    <t>petermarino@gmx.de, carolin.ilg@googlemail.com</t>
  </si>
  <si>
    <t>5570 - 2p - 1 chien</t>
  </si>
  <si>
    <t>4 p - 2 enfants : 16 et 9 ans</t>
  </si>
  <si>
    <t>Wirth</t>
  </si>
  <si>
    <t>Ursula und Roland</t>
  </si>
  <si>
    <t>Hohlweg 23</t>
  </si>
  <si>
    <t>CH-4104</t>
  </si>
  <si>
    <t>Oberwil</t>
  </si>
  <si>
    <t>u.wirth@alowag.ch</t>
  </si>
  <si>
    <t>00,41,79,645,07,80</t>
  </si>
  <si>
    <t>2p+4 chiens</t>
  </si>
  <si>
    <t>Amoco123456!</t>
  </si>
  <si>
    <t>Buttweiler</t>
  </si>
  <si>
    <t>Eichenstrasse 27</t>
  </si>
  <si>
    <t>D-67365</t>
  </si>
  <si>
    <t>Schwegenheim</t>
  </si>
  <si>
    <t>00,49,172,4892841</t>
  </si>
  <si>
    <t>r.buttweiler@osteopathie-pfalz.de</t>
  </si>
  <si>
    <t>&lt;</t>
  </si>
  <si>
    <t>Roger &amp; Simone</t>
  </si>
  <si>
    <t>Stirnemann</t>
  </si>
  <si>
    <t xml:space="preserve">Urs &amp; Alexandra </t>
  </si>
  <si>
    <t>00,41,795940792</t>
  </si>
  <si>
    <t>ursstirnemann@bluewin.ch</t>
  </si>
  <si>
    <t>Geerenstrasse 23b</t>
  </si>
  <si>
    <t>Volketswil</t>
  </si>
  <si>
    <t>2p + 1 chien : Lou (caniche)</t>
  </si>
  <si>
    <t>Brenner</t>
  </si>
  <si>
    <t>Alexander</t>
  </si>
  <si>
    <t>Am Wartburgblick 14</t>
  </si>
  <si>
    <t>D-99817</t>
  </si>
  <si>
    <t>Eisenach</t>
  </si>
  <si>
    <t>00,49,152,343,77157</t>
  </si>
  <si>
    <t>brenneralex.ab@gmail.com</t>
  </si>
  <si>
    <t>Stetic</t>
  </si>
  <si>
    <t>Simone</t>
  </si>
  <si>
    <t>Frauenfelderstr 100</t>
  </si>
  <si>
    <t>Matzingen</t>
  </si>
  <si>
    <t>CH-9548</t>
  </si>
  <si>
    <t>00,41,79,422,28,53</t>
  </si>
  <si>
    <t>tierphysio-elber@hotmail.com</t>
  </si>
  <si>
    <t>4p dont 2 enfants + 5 chiens</t>
  </si>
  <si>
    <t>Klein Hohn 24</t>
  </si>
  <si>
    <t xml:space="preserve"> Bergisch Gladbach</t>
  </si>
  <si>
    <t>D-51429</t>
  </si>
  <si>
    <t>00,49,151,22076670</t>
  </si>
  <si>
    <t xml:space="preserve">Olaf </t>
  </si>
  <si>
    <t>Gerber</t>
  </si>
  <si>
    <t>olafgerber1@web.de</t>
  </si>
  <si>
    <t>2p+1chien</t>
  </si>
  <si>
    <t>2021 - Plouescat</t>
  </si>
  <si>
    <t>Jänsch</t>
  </si>
  <si>
    <t>Edgar</t>
  </si>
  <si>
    <t>Glaubergstrasse 11</t>
  </si>
  <si>
    <t>D-61118</t>
  </si>
  <si>
    <t>Badvilbel</t>
  </si>
  <si>
    <t>00,49,61018036501</t>
  </si>
  <si>
    <t>00,49,176,24058768</t>
  </si>
  <si>
    <t>jaensch@email.de ; e_jaensch@web.de</t>
  </si>
  <si>
    <t>4p dont enf 8 et 10 ans + 1 chien</t>
  </si>
  <si>
    <t>Reichelt</t>
  </si>
  <si>
    <t>Wolfgang</t>
  </si>
  <si>
    <t>An der Rheyder Höhe 30</t>
  </si>
  <si>
    <t>D-41239</t>
  </si>
  <si>
    <t>Mönchengladbach</t>
  </si>
  <si>
    <t>00,49,21666219819</t>
  </si>
  <si>
    <t>00,49,152,09422034</t>
  </si>
  <si>
    <t>wolfgang.reichelt@dekra.com</t>
  </si>
  <si>
    <t>CA - 2021</t>
  </si>
  <si>
    <t>Peter Marino + Carolin Ilg</t>
  </si>
  <si>
    <t>linledin</t>
  </si>
  <si>
    <t>Skjelsvik</t>
  </si>
  <si>
    <t>Rolf und Corinna</t>
  </si>
  <si>
    <t>Pulverweg 5</t>
  </si>
  <si>
    <t>CH-3270</t>
  </si>
  <si>
    <t>Aarberg</t>
  </si>
  <si>
    <t>00,41,323937603</t>
  </si>
  <si>
    <t>0041,764,761202</t>
  </si>
  <si>
    <t>skjelsvik@sunrise.ch</t>
  </si>
  <si>
    <t>booking direct</t>
  </si>
  <si>
    <t>1190-5p - 6-8-8</t>
  </si>
  <si>
    <t>1190 - 4p+1 chien (6-9 ans)</t>
  </si>
  <si>
    <t>Dutz</t>
  </si>
  <si>
    <t>iug-dutz@t-online.de</t>
  </si>
  <si>
    <t>Georg</t>
  </si>
  <si>
    <t>Edouard Möriken Platz 3</t>
  </si>
  <si>
    <t>DE-52249</t>
  </si>
  <si>
    <t>Eschweiter</t>
  </si>
  <si>
    <t>00,49,151,16839918</t>
  </si>
  <si>
    <t>00,49,240351037</t>
  </si>
  <si>
    <t>6p - 6 chiens</t>
  </si>
  <si>
    <t>Greiner</t>
  </si>
  <si>
    <t>Finkenstrasse 9</t>
  </si>
  <si>
    <t>D-71577</t>
  </si>
  <si>
    <t>00,49,15140776276</t>
  </si>
  <si>
    <t>jutta.greiner@gmx.com</t>
  </si>
  <si>
    <t>Schënbronn</t>
  </si>
  <si>
    <t xml:space="preserve">Karin und Birger </t>
  </si>
  <si>
    <t>Walden</t>
  </si>
  <si>
    <t>00,49,176,4730,8666</t>
  </si>
  <si>
    <t>karin.walden@gmx.de</t>
  </si>
  <si>
    <t>initilement plouecat en 2020</t>
  </si>
  <si>
    <t>Hammerschmidt</t>
  </si>
  <si>
    <t>Jürgen</t>
  </si>
  <si>
    <t>Grabenbauerweg2</t>
  </si>
  <si>
    <t>Aust-8605</t>
  </si>
  <si>
    <t>Kapfenberg</t>
  </si>
  <si>
    <t>jhammerschmied@outlook.com</t>
  </si>
  <si>
    <t>4p-3chiens</t>
  </si>
  <si>
    <t>acompte le 28/09/2020</t>
  </si>
  <si>
    <t>Blaser</t>
  </si>
  <si>
    <t>Daniel</t>
  </si>
  <si>
    <t>Brunnenweg, 7 D</t>
  </si>
  <si>
    <t>Sutz Suisse</t>
  </si>
  <si>
    <t xml:space="preserve">CH-2572 </t>
  </si>
  <si>
    <t>00,41,793842275</t>
  </si>
  <si>
    <t>daenublaser@bluewin.ch</t>
  </si>
  <si>
    <t>Alexandra</t>
  </si>
  <si>
    <t>Rockelsberg</t>
  </si>
  <si>
    <t>Düsserdorfer Strasse 141</t>
  </si>
  <si>
    <t>D-47447</t>
  </si>
  <si>
    <t>Moers</t>
  </si>
  <si>
    <t>00,49,174,170,3951</t>
  </si>
  <si>
    <t>alexandra.rockelsberg@gmx.de</t>
  </si>
  <si>
    <t>hubdeurlaub</t>
  </si>
  <si>
    <t>profil perso</t>
  </si>
  <si>
    <t>profil pro</t>
  </si>
  <si>
    <t>990 € - 4p + 9 et 12 ans1 chien</t>
  </si>
  <si>
    <t>Priolet</t>
  </si>
  <si>
    <t>10 rue du clos de villevert</t>
  </si>
  <si>
    <t>Senlis</t>
  </si>
  <si>
    <t>06,82,09,53,84</t>
  </si>
  <si>
    <t>didier.priolet@free.fr</t>
  </si>
  <si>
    <t>5p - 1 chien</t>
  </si>
  <si>
    <t>2780 -2p+2chiens</t>
  </si>
  <si>
    <t>Jaehne</t>
  </si>
  <si>
    <t>Nicole et Thomas</t>
  </si>
  <si>
    <t>Morrbekweg 38a</t>
  </si>
  <si>
    <t>00,49,175,2784331</t>
  </si>
  <si>
    <t>nicjay@gmx.de</t>
  </si>
  <si>
    <t>Pötschke</t>
  </si>
  <si>
    <t>Am Rosenkothen 18a</t>
  </si>
  <si>
    <t>D-40880</t>
  </si>
  <si>
    <t>Ratingen</t>
  </si>
  <si>
    <t>00,49,170,3400858</t>
  </si>
  <si>
    <t>julia.poetschke@gmx.net</t>
  </si>
  <si>
    <t>4p+3chiens</t>
  </si>
  <si>
    <t>Zoom</t>
  </si>
  <si>
    <t>Siren Cleder Plouescat</t>
  </si>
  <si>
    <t>Gates devises paypal</t>
  </si>
  <si>
    <t>xavier.cadiou@agrireseauxinternational.com</t>
  </si>
  <si>
    <t>Allartz</t>
  </si>
  <si>
    <t>Eva</t>
  </si>
  <si>
    <t>Haagsohe Alle 42</t>
  </si>
  <si>
    <t>D-47608</t>
  </si>
  <si>
    <t>Geldern</t>
  </si>
  <si>
    <t>00,49,2831,1322628</t>
  </si>
  <si>
    <t>00,49,162,2746119</t>
  </si>
  <si>
    <t>eva@allartz.de</t>
  </si>
  <si>
    <t>Winkelmann</t>
  </si>
  <si>
    <t>Brigitte &amp; Ralf</t>
  </si>
  <si>
    <t>Zieglergasse 3</t>
  </si>
  <si>
    <t>D-97851</t>
  </si>
  <si>
    <t>Bergrothenfels</t>
  </si>
  <si>
    <t>00,49,171,4512042</t>
  </si>
  <si>
    <t>00,49,170,814,3563</t>
  </si>
  <si>
    <t xml:space="preserve"> auftrittebert@aol.com</t>
  </si>
  <si>
    <t>Tillmans-Larisch</t>
  </si>
  <si>
    <t>Anke</t>
  </si>
  <si>
    <t xml:space="preserve">02173 / 395961                </t>
  </si>
  <si>
    <t>kanzlei@anwaltskanzlei-tl.de</t>
  </si>
  <si>
    <t xml:space="preserve">Hildener Str. 17, </t>
  </si>
  <si>
    <t>Langenfeld</t>
  </si>
  <si>
    <t>D-40764</t>
  </si>
  <si>
    <t>00,49,16097354142</t>
  </si>
  <si>
    <t>Amoco123! Avec xavier.cadiou@agri</t>
  </si>
  <si>
    <t>HMAmoco123!</t>
  </si>
  <si>
    <t>Quemener</t>
  </si>
  <si>
    <t>Yoann</t>
  </si>
  <si>
    <t>19 rue Paul Sérusier</t>
  </si>
  <si>
    <t>Chateaulin</t>
  </si>
  <si>
    <t>06,31,05,24,36</t>
  </si>
  <si>
    <t>yoannjulie@gmail.com</t>
  </si>
  <si>
    <t>5p dont deux enfants</t>
  </si>
  <si>
    <t>BOAmoco123!</t>
  </si>
  <si>
    <t>Booking</t>
  </si>
  <si>
    <t xml:space="preserve">Andrzej </t>
  </si>
  <si>
    <t>Nowak</t>
  </si>
  <si>
    <t>06,88,38,15,03</t>
  </si>
  <si>
    <t>Abritel</t>
  </si>
  <si>
    <t>ABAmoco123!</t>
  </si>
  <si>
    <t>Orange general arinternational@orange.fr</t>
  </si>
  <si>
    <t>ORAmoco123!</t>
  </si>
  <si>
    <t>Gilles</t>
  </si>
  <si>
    <t>Layes</t>
  </si>
  <si>
    <t>Les Clavettes</t>
  </si>
  <si>
    <t>FR-03260</t>
  </si>
  <si>
    <t>Billy</t>
  </si>
  <si>
    <t>06,98,03,76,28</t>
  </si>
  <si>
    <t>06,60,90,71,00</t>
  </si>
  <si>
    <t>marielayes@orange.fr</t>
  </si>
  <si>
    <t>25 decembre</t>
  </si>
  <si>
    <t>Bechmann</t>
  </si>
  <si>
    <t xml:space="preserve">Konstanze </t>
  </si>
  <si>
    <t>00,49,17680824487</t>
  </si>
  <si>
    <t xml:space="preserve">Julius-Leber.Ring 62, </t>
  </si>
  <si>
    <t>D-99087</t>
  </si>
  <si>
    <t>Erfurt</t>
  </si>
  <si>
    <t>konstanze.bechmann@web.de</t>
  </si>
  <si>
    <t>Meyenburg</t>
  </si>
  <si>
    <t>Poppenbütteler Berg 34</t>
  </si>
  <si>
    <t>D-22399</t>
  </si>
  <si>
    <t>00,49,170,581,28,12</t>
  </si>
  <si>
    <t>00,49,40,27872769</t>
  </si>
  <si>
    <t>info.samato@gmx.de</t>
  </si>
  <si>
    <t>3p (1 enfant de 13 ans + 1 chien</t>
  </si>
  <si>
    <t>Rech</t>
  </si>
  <si>
    <t>Hiel 5</t>
  </si>
  <si>
    <t>L-6834</t>
  </si>
  <si>
    <t>Biwer</t>
  </si>
  <si>
    <t>00,352,621274504</t>
  </si>
  <si>
    <t>00,352,710882</t>
  </si>
  <si>
    <t>armand@gesundes-laufen.com</t>
  </si>
  <si>
    <t>Strouhal</t>
  </si>
  <si>
    <t>Gabrielle</t>
  </si>
  <si>
    <t>Platanenring 33</t>
  </si>
  <si>
    <t>D-61352</t>
  </si>
  <si>
    <t>00,49,1709383797</t>
  </si>
  <si>
    <t>stro.stro@gmail.com</t>
  </si>
  <si>
    <t>Mehl</t>
  </si>
  <si>
    <t>Angelika</t>
  </si>
  <si>
    <t>Weilertalstrasse 21/1</t>
  </si>
  <si>
    <t>D-79410</t>
  </si>
  <si>
    <t>Bedenweiter</t>
  </si>
  <si>
    <t>00,49,76326681</t>
  </si>
  <si>
    <t>00,49,172,692,4061</t>
  </si>
  <si>
    <t>angelika.mehl@t-online.de</t>
  </si>
  <si>
    <t>4 p+2 chiens (couples</t>
  </si>
  <si>
    <t>Geib</t>
  </si>
  <si>
    <t>00,352,661319286</t>
  </si>
  <si>
    <t>martine.geib@education.lu</t>
  </si>
  <si>
    <t>Malor</t>
  </si>
  <si>
    <t>Jeremy</t>
  </si>
  <si>
    <t>1 allee du jardin de Robinson - appt 34</t>
  </si>
  <si>
    <t>Le Plessy Robinson</t>
  </si>
  <si>
    <t>06,65,07,08,32</t>
  </si>
  <si>
    <t>jeremy.malor@gmail.com</t>
  </si>
  <si>
    <t>Pouliquen</t>
  </si>
  <si>
    <t>Kristell</t>
  </si>
  <si>
    <t>16 bis rue des alizees</t>
  </si>
  <si>
    <t>La Chapelle sur Erdre</t>
  </si>
  <si>
    <t>06,01,12,52,39</t>
  </si>
  <si>
    <t>kristellpouliquen@hotmail.fr</t>
  </si>
  <si>
    <t>Chevallier</t>
  </si>
  <si>
    <t>Elisabeth</t>
  </si>
  <si>
    <t>9 rue du sous lieutenant Yves Berger</t>
  </si>
  <si>
    <t>Rennes</t>
  </si>
  <si>
    <t>06,04,48,10,32</t>
  </si>
  <si>
    <t>sabeth.chevalier@free.fr</t>
  </si>
  <si>
    <t>leboncoin</t>
  </si>
  <si>
    <t>Report de 2021 (8-22 mai 21)</t>
  </si>
  <si>
    <t>Report de mars 2021</t>
  </si>
  <si>
    <t>Barnier</t>
  </si>
  <si>
    <t>Chrystel</t>
  </si>
  <si>
    <t>06,72,89,65,49</t>
  </si>
  <si>
    <t>4 adute  - 1 e,nfant</t>
  </si>
  <si>
    <t>abritel</t>
  </si>
  <si>
    <t>report 2020, report 2021</t>
  </si>
  <si>
    <t>Werner</t>
  </si>
  <si>
    <t>Berwian</t>
  </si>
  <si>
    <t>00,49,176,81,787,393</t>
  </si>
  <si>
    <t>naiwreb@aol.com</t>
  </si>
  <si>
    <t>remboursé le 16/03/2021 - 250€</t>
  </si>
  <si>
    <t>Belz</t>
  </si>
  <si>
    <t>Biete</t>
  </si>
  <si>
    <t>Saarland strasse 305</t>
  </si>
  <si>
    <t>Zingen</t>
  </si>
  <si>
    <t>00,49,151,17318101</t>
  </si>
  <si>
    <t>beatebelz@gmx.de</t>
  </si>
  <si>
    <t>huunde-urlaub</t>
  </si>
  <si>
    <t>Osthaus</t>
  </si>
  <si>
    <t>Kirsten</t>
  </si>
  <si>
    <t>Kanonierstrasse 15</t>
  </si>
  <si>
    <t>D-40476</t>
  </si>
  <si>
    <t>00,49,1773314079</t>
  </si>
  <si>
    <t>ko_0815@yahoo.de</t>
  </si>
  <si>
    <t>Pollino</t>
  </si>
  <si>
    <t>Stéphane</t>
  </si>
  <si>
    <t>18 rue de Berne</t>
  </si>
  <si>
    <t>15 rue de Berne</t>
  </si>
  <si>
    <t>06,87,58,03,93</t>
  </si>
  <si>
    <t>stephane.pollino@gmail.com</t>
  </si>
  <si>
    <t>5p+1chat</t>
  </si>
  <si>
    <t>oui 20%</t>
  </si>
  <si>
    <t>2380 -6p 2 chiens</t>
  </si>
  <si>
    <t>2280 - 2p + 1 chien : Lou (caniche)</t>
  </si>
  <si>
    <t>14/05//2022</t>
  </si>
  <si>
    <t>remboursé 425 le 27/04/21</t>
  </si>
  <si>
    <t>Willaschek</t>
  </si>
  <si>
    <t>Pamela</t>
  </si>
  <si>
    <t>pamela.willaschek@freenet.de</t>
  </si>
  <si>
    <t>00,49,079319322111</t>
  </si>
  <si>
    <t>Meyer</t>
  </si>
  <si>
    <t>Marie Andrée</t>
  </si>
  <si>
    <t>06,69,35,92,16</t>
  </si>
  <si>
    <t>madree2@yahoo.fr</t>
  </si>
  <si>
    <t>Dornstrasse 7</t>
  </si>
  <si>
    <t>D-66620</t>
  </si>
  <si>
    <t>Nonnweiler</t>
  </si>
  <si>
    <t>Jasmin</t>
  </si>
  <si>
    <t>+49 17063-88383</t>
  </si>
  <si>
    <t>schmidt.jas@gmx.de</t>
  </si>
  <si>
    <t>annulent - pas de remboursement</t>
  </si>
  <si>
    <t>Unglaub</t>
  </si>
  <si>
    <t>Habichtstrasse 15A</t>
  </si>
  <si>
    <t>00,49,15774094817</t>
  </si>
  <si>
    <t>unglaub@arcor.de</t>
  </si>
  <si>
    <t>2p 2 enfants 2139</t>
  </si>
  <si>
    <t>Czaja</t>
  </si>
  <si>
    <t>Bernd</t>
  </si>
  <si>
    <t>Rosental 12</t>
  </si>
  <si>
    <t>D-45525</t>
  </si>
  <si>
    <t>Hattinger</t>
  </si>
  <si>
    <t>0049,172,2737510</t>
  </si>
  <si>
    <t>b.czaja@mail.de</t>
  </si>
  <si>
    <t>Steinmetz</t>
  </si>
  <si>
    <t>Klauserner Strasse 16</t>
  </si>
  <si>
    <t>D-54296</t>
  </si>
  <si>
    <t>Trier</t>
  </si>
  <si>
    <t>00,49,151,628730773</t>
  </si>
  <si>
    <t>steinmetzdirk@yahoo.de</t>
  </si>
  <si>
    <t>2p - 2 chiens</t>
  </si>
  <si>
    <t>2192 - 4p+1chien</t>
  </si>
  <si>
    <t xml:space="preserve">Diane </t>
  </si>
  <si>
    <t>Dupont</t>
  </si>
  <si>
    <t>5p dont3 enfant de 10-12 ans</t>
  </si>
  <si>
    <t>3p 1 chien</t>
  </si>
  <si>
    <t>2022- Plouescat</t>
  </si>
  <si>
    <t>Obere Rebbergstrasse 4</t>
  </si>
  <si>
    <t>CH-8196</t>
  </si>
  <si>
    <t>Wil/2H</t>
  </si>
  <si>
    <t>déjà venu à Cleder en 2018</t>
  </si>
  <si>
    <t>Armand</t>
  </si>
  <si>
    <t>Kirmis</t>
  </si>
  <si>
    <t>Josefine</t>
  </si>
  <si>
    <t>Armbrusts trasse 13</t>
  </si>
  <si>
    <t>D-73230</t>
  </si>
  <si>
    <t>Kirchheil unter Teck</t>
  </si>
  <si>
    <t>0,49,15203079294</t>
  </si>
  <si>
    <t>josefine.kirmis@web.de</t>
  </si>
  <si>
    <t>3p+1chien</t>
  </si>
  <si>
    <t>Abel</t>
  </si>
  <si>
    <t>Sabrina</t>
  </si>
  <si>
    <t>Will-Erlbeck-Ring 37</t>
  </si>
  <si>
    <t>D-86415</t>
  </si>
  <si>
    <t>Mering</t>
  </si>
  <si>
    <t>00,49,15253711294</t>
  </si>
  <si>
    <t>abel-sabrina@gmx.net</t>
  </si>
  <si>
    <t>Lena</t>
  </si>
  <si>
    <t>Holz</t>
  </si>
  <si>
    <t>Rudolf Kunst Gasse 8</t>
  </si>
  <si>
    <t>D-4030</t>
  </si>
  <si>
    <t>Linz</t>
  </si>
  <si>
    <t>lena.holzschuh33@gmail.com</t>
  </si>
  <si>
    <t>airfrance</t>
  </si>
  <si>
    <t>solde le 16/07</t>
  </si>
  <si>
    <t>Gehrke</t>
  </si>
  <si>
    <t>Mario</t>
  </si>
  <si>
    <t>Rilkestr. 60</t>
  </si>
  <si>
    <t>Chemnitz</t>
  </si>
  <si>
    <t xml:space="preserve">D-09114 </t>
  </si>
  <si>
    <t>00,49,1722623910</t>
  </si>
  <si>
    <t>mgecko72@gmail.com</t>
  </si>
  <si>
    <t>Scheuren</t>
  </si>
  <si>
    <t>Heinz</t>
  </si>
  <si>
    <t>Roonstrasse 80</t>
  </si>
  <si>
    <t>heinz.scheuren@web.de</t>
  </si>
  <si>
    <t>00,49,1743090065</t>
  </si>
  <si>
    <t>5p+2 chiens (1 enfant de  10 ans)</t>
  </si>
  <si>
    <t>virement le 29/07/2021</t>
  </si>
  <si>
    <t>1000 le 29/07/2021</t>
  </si>
  <si>
    <t>Wendt</t>
  </si>
  <si>
    <t>Eva und Zoran</t>
  </si>
  <si>
    <t>Lange Strasse 18c</t>
  </si>
  <si>
    <t>D-32791</t>
  </si>
  <si>
    <t>Lage</t>
  </si>
  <si>
    <t>00,49,151,12345688</t>
  </si>
  <si>
    <t>thalinchen75@gmx.de</t>
  </si>
  <si>
    <t>CA - 2022</t>
  </si>
  <si>
    <t>Année 2022</t>
  </si>
  <si>
    <t>retour 2021</t>
  </si>
  <si>
    <t>Blenk</t>
  </si>
  <si>
    <t>Im Esch 7</t>
  </si>
  <si>
    <t>D-44892</t>
  </si>
  <si>
    <t>Bochum</t>
  </si>
  <si>
    <t>00,49,171,8643933</t>
  </si>
  <si>
    <t>00,49,234,297211</t>
  </si>
  <si>
    <t>s.g.blenk@gmail.com</t>
  </si>
  <si>
    <t>6p-3dogs</t>
  </si>
  <si>
    <t>Marpmann</t>
  </si>
  <si>
    <t>Catarina</t>
  </si>
  <si>
    <t>Starenweg 23</t>
  </si>
  <si>
    <t>D-47661</t>
  </si>
  <si>
    <t>Issum</t>
  </si>
  <si>
    <t>00,49,171,4948565</t>
  </si>
  <si>
    <t>catarina@marpmannonline.de</t>
  </si>
  <si>
    <t>995 le 25/08/2021</t>
  </si>
  <si>
    <t>Link</t>
  </si>
  <si>
    <t>Dr August Stumpf Str42</t>
  </si>
  <si>
    <t>D-74731</t>
  </si>
  <si>
    <t>Walldüm</t>
  </si>
  <si>
    <t>00,49,160,7978262</t>
  </si>
  <si>
    <t>00,49,6282,927173</t>
  </si>
  <si>
    <t>info@ipe-ingenieure.de</t>
  </si>
  <si>
    <t>508,50 le 28/08/2021</t>
  </si>
  <si>
    <t>00.49.15226714521</t>
  </si>
  <si>
    <t>6 mai: veut repousser en 2021 - 2 semaines . ANNULE</t>
  </si>
  <si>
    <t>00,43,6649689828</t>
  </si>
  <si>
    <t>Retour</t>
  </si>
  <si>
    <t>1290*2 - 2p + 2 chien</t>
  </si>
  <si>
    <t>Sekle-Greul</t>
  </si>
  <si>
    <t>FleiderWeg 21</t>
  </si>
  <si>
    <t>D-79367</t>
  </si>
  <si>
    <t>Weisweil</t>
  </si>
  <si>
    <t>bsg01@aol.com</t>
  </si>
  <si>
    <t>00,49,1709211553</t>
  </si>
  <si>
    <t>790*2 2p + 2 chiens</t>
  </si>
  <si>
    <t>reportent à 2022</t>
  </si>
  <si>
    <t>00,31,622792943/+31655565349</t>
  </si>
  <si>
    <t>retour 2015, 2016 et 2018</t>
  </si>
  <si>
    <t>champagne</t>
  </si>
  <si>
    <t>Bergmann</t>
  </si>
  <si>
    <t>Am Schulgarten 5</t>
  </si>
  <si>
    <t>D-34477</t>
  </si>
  <si>
    <t>Twistetal-Ober Waroldern</t>
  </si>
  <si>
    <t>00,49,160,97985935</t>
  </si>
  <si>
    <t>00,49,56959928690</t>
  </si>
  <si>
    <t>3p + 3 chiens</t>
  </si>
  <si>
    <t>Helmut Josef und Sandra</t>
  </si>
  <si>
    <t>Verlanova</t>
  </si>
  <si>
    <t>Jeanna</t>
  </si>
  <si>
    <t>Granatweg 4</t>
  </si>
  <si>
    <t>CH-3004</t>
  </si>
  <si>
    <t>Bern</t>
  </si>
  <si>
    <t>00,41,767476677</t>
  </si>
  <si>
    <t>jeanna@mail.ch</t>
  </si>
  <si>
    <t>Birgit Wingert &lt;Birgit.Wingert@gmx.at&gt;</t>
  </si>
  <si>
    <t>Wingert</t>
  </si>
  <si>
    <t>Oswald-Milser Strasse 15b</t>
  </si>
  <si>
    <t>Mils</t>
  </si>
  <si>
    <t>Os-6068</t>
  </si>
  <si>
    <t>0043,650,6226304</t>
  </si>
  <si>
    <t>Kohl</t>
  </si>
  <si>
    <t>00,49,170,6385712</t>
  </si>
  <si>
    <t>mp.kohl@t-online.de</t>
  </si>
  <si>
    <t>Leue-Droste</t>
  </si>
  <si>
    <t>Andre</t>
  </si>
  <si>
    <t>Fruthwiler Strass 79</t>
  </si>
  <si>
    <t>CH-8272</t>
  </si>
  <si>
    <t>Ermatingen</t>
  </si>
  <si>
    <t>00,41,784020675</t>
  </si>
  <si>
    <t>droste.andre@gmail.com</t>
  </si>
  <si>
    <t>4p+2 chiens</t>
  </si>
  <si>
    <t>Pelz</t>
  </si>
  <si>
    <t>Strasse der Einheit</t>
  </si>
  <si>
    <t>D-09423</t>
  </si>
  <si>
    <t>Gelenau/E.</t>
  </si>
  <si>
    <t>00,49,152,03552955</t>
  </si>
  <si>
    <t>c-pelz@web.de</t>
  </si>
  <si>
    <t>4p + 2 chiens</t>
  </si>
  <si>
    <t>4p dont enf 11 et 12 ans + 1 chien</t>
  </si>
  <si>
    <t>1290 € mais reporté du nouvel an 2020 - Annulent le 04/12/2021</t>
  </si>
  <si>
    <t xml:space="preserve">Haack </t>
  </si>
  <si>
    <t>Ulmenring 49</t>
  </si>
  <si>
    <t>D-16321</t>
  </si>
  <si>
    <t>Bernau Bei Berlin</t>
  </si>
  <si>
    <t>00,49,152,54202192</t>
  </si>
  <si>
    <t>martin020489@s215275543.online.de</t>
  </si>
  <si>
    <t>Specht</t>
  </si>
  <si>
    <t>Platanenweg3</t>
  </si>
  <si>
    <t>D-79189</t>
  </si>
  <si>
    <t>Bad Krozingen</t>
  </si>
  <si>
    <t>00,49,76339409649</t>
  </si>
  <si>
    <t>00,49,175,5635510</t>
  </si>
  <si>
    <t>anjaspecht75@googlemail.com</t>
  </si>
  <si>
    <t>Brinkmann</t>
  </si>
  <si>
    <t>Lilienstr 5</t>
  </si>
  <si>
    <t>D-27383</t>
  </si>
  <si>
    <t>Scheessel</t>
  </si>
  <si>
    <t>00,49,4263,3633</t>
  </si>
  <si>
    <t>00,49,173,5677691</t>
  </si>
  <si>
    <t>jbrinkmann64@web.de</t>
  </si>
  <si>
    <t>00,43,664,75000560</t>
  </si>
  <si>
    <t>1590  4p 3 chiens</t>
  </si>
  <si>
    <t>annulé le 07/01/2022</t>
  </si>
  <si>
    <t xml:space="preserve">Heimbüchel </t>
  </si>
  <si>
    <t>00,49,30/40109450</t>
  </si>
  <si>
    <t>00,49,171,5460975</t>
  </si>
  <si>
    <t>D-13465</t>
  </si>
  <si>
    <t>Graneweg 5a</t>
  </si>
  <si>
    <t>w.heimbüchel@t-online.de</t>
  </si>
  <si>
    <t>2p + 1 chien :</t>
  </si>
  <si>
    <t>Stoll</t>
  </si>
  <si>
    <t>Andreas &amp; Christa</t>
  </si>
  <si>
    <t>Naglerwiesenstrasse 13</t>
  </si>
  <si>
    <t>CH-8049</t>
  </si>
  <si>
    <t>00,41,79,831,30,07</t>
  </si>
  <si>
    <t>arstoll@bluewin.ch</t>
  </si>
  <si>
    <t>2p+1chien (peut être 4p</t>
  </si>
  <si>
    <t>&lt;&lt;&lt;&lt;&lt;&lt;&lt;&lt;&lt;&lt;&lt;&lt;&lt;&lt;&lt;&lt;&lt;&lt;&lt;&lt;&lt;&lt;&lt;&lt;&lt;&lt;&lt;&lt;&lt;&lt;&lt;&lt;&lt;&lt;&lt;&lt;&lt;</t>
  </si>
  <si>
    <t>ANNULe LE 10/01/2022</t>
  </si>
  <si>
    <t>modif de 2 à 1 semaine</t>
  </si>
  <si>
    <t>retour cleder 2021</t>
  </si>
  <si>
    <t>Serkan Pöverlein</t>
  </si>
  <si>
    <t>Serkan</t>
  </si>
  <si>
    <t>Poverlein</t>
  </si>
  <si>
    <t>00,49,1590,6484011</t>
  </si>
  <si>
    <t>Lupeinenweg 1</t>
  </si>
  <si>
    <t>D-91096</t>
  </si>
  <si>
    <t>Mührendorf</t>
  </si>
  <si>
    <t>35 rue des prés</t>
  </si>
  <si>
    <t>L-8265</t>
  </si>
  <si>
    <t>Mamer</t>
  </si>
  <si>
    <t>Krest</t>
  </si>
  <si>
    <t>Maija Katharina</t>
  </si>
  <si>
    <t>Stiftsstrasse 25b</t>
  </si>
  <si>
    <t>D-53894</t>
  </si>
  <si>
    <t>Mechernich</t>
  </si>
  <si>
    <t>00,49,163,2333355</t>
  </si>
  <si>
    <t>migy@hotmail.de</t>
  </si>
  <si>
    <t>3 (enfant 1,5 nas)</t>
  </si>
  <si>
    <t>Häfner</t>
  </si>
  <si>
    <t>00,49,1721094079</t>
  </si>
  <si>
    <t>martin.haefner@nexgo.de</t>
  </si>
  <si>
    <t>annulé 2020 et 2021</t>
  </si>
  <si>
    <t>Furrer</t>
  </si>
  <si>
    <t>Gässli 9a</t>
  </si>
  <si>
    <t>CH-4614</t>
  </si>
  <si>
    <t>Hägendorf</t>
  </si>
  <si>
    <t>00,41,797855020</t>
  </si>
  <si>
    <t>dani.furrer@outlook.com</t>
  </si>
  <si>
    <t>Gelhausen</t>
  </si>
  <si>
    <t>Luciane</t>
  </si>
  <si>
    <t>64 rue des celtes</t>
  </si>
  <si>
    <t>L-1318</t>
  </si>
  <si>
    <t>00,352,621290737</t>
  </si>
  <si>
    <t>luciane@pt.lu</t>
  </si>
  <si>
    <t>5p+2 chiens (6,10,13)</t>
  </si>
  <si>
    <t>avec diane</t>
  </si>
  <si>
    <t>Hecker</t>
  </si>
  <si>
    <t>Hardy</t>
  </si>
  <si>
    <t>Am Hang 18</t>
  </si>
  <si>
    <t>D-736344</t>
  </si>
  <si>
    <t>Eggenstein</t>
  </si>
  <si>
    <t>00,49,173,9820098</t>
  </si>
  <si>
    <t>hardy.hecker@hhmobile.de</t>
  </si>
  <si>
    <t>Lill</t>
  </si>
  <si>
    <t>Heinestrasse 8</t>
  </si>
  <si>
    <t>D-66583</t>
  </si>
  <si>
    <t>Spiesen-Elversberg</t>
  </si>
  <si>
    <t>00,49,171,7986472</t>
  </si>
  <si>
    <t>hms-lill@web.de</t>
  </si>
  <si>
    <t xml:space="preserve">4p - 15 et 18 ans (peut etre) 1 chien </t>
  </si>
  <si>
    <t>avait annulé en 2020</t>
  </si>
  <si>
    <t>ont réservé pour nov 2021 et reporté cause opération - paiement 100% le 02/03/2022</t>
  </si>
  <si>
    <t>3 (enfant 1an et demi)</t>
  </si>
  <si>
    <t>Personne</t>
  </si>
  <si>
    <t>helmut.joe.bergmann@t-online.de</t>
  </si>
  <si>
    <t>Brinkers</t>
  </si>
  <si>
    <t>Katy</t>
  </si>
  <si>
    <t>3p + 2 chiens</t>
  </si>
  <si>
    <t>ErsterFelder Stiege 44</t>
  </si>
  <si>
    <t>D-49716 Messen</t>
  </si>
  <si>
    <t>Messen</t>
  </si>
  <si>
    <t>00,49,15146540692</t>
  </si>
  <si>
    <t>kbrinkers@icloud.com</t>
  </si>
  <si>
    <t>Jeworski</t>
  </si>
  <si>
    <t>Heidrun + Martin</t>
  </si>
  <si>
    <t>Beim Schönbick 11</t>
  </si>
  <si>
    <t>D-88433</t>
  </si>
  <si>
    <t>Schemmerhofen</t>
  </si>
  <si>
    <t>00,49,176,79005602</t>
  </si>
  <si>
    <t>h.jeworski@gmx.net</t>
  </si>
  <si>
    <t>Retour 2022</t>
  </si>
  <si>
    <t>Maryline</t>
  </si>
  <si>
    <t>2023- Plouescat</t>
  </si>
  <si>
    <t>Année 2023</t>
  </si>
  <si>
    <t>CA - 2023</t>
  </si>
  <si>
    <t>Ellermeyer</t>
  </si>
  <si>
    <t>Lindenstrasse 2D</t>
  </si>
  <si>
    <t>Aut-4810</t>
  </si>
  <si>
    <t>Gmunden</t>
  </si>
  <si>
    <t>00,43,660,8750077</t>
  </si>
  <si>
    <t>joerg.ellermeyer@gmail.com</t>
  </si>
  <si>
    <t>hunde-urlaub.com</t>
  </si>
  <si>
    <t>Tauchter</t>
  </si>
  <si>
    <t>Peter und Nina</t>
  </si>
  <si>
    <t>Berzelivsstrasse 35</t>
  </si>
  <si>
    <t>D-40549</t>
  </si>
  <si>
    <t>00,49,171,44,33,530</t>
  </si>
  <si>
    <t>00,49,211,593359</t>
  </si>
  <si>
    <t>pethei@msn.com</t>
  </si>
  <si>
    <t>Retour 2021</t>
  </si>
  <si>
    <t>ahre le 28/06/2022 sur coppte CMB+2473 sur comptyer cleder le 20/05/2022</t>
  </si>
  <si>
    <t>Allianz Xavier</t>
  </si>
  <si>
    <t>Allianz Nathalie</t>
  </si>
  <si>
    <t>Axa Xavier</t>
  </si>
  <si>
    <t>Acompte 2023</t>
  </si>
  <si>
    <t>Apport</t>
  </si>
  <si>
    <t>Adepta</t>
  </si>
  <si>
    <t>Montant Net</t>
  </si>
  <si>
    <t>Montant total</t>
  </si>
  <si>
    <t>Autre (Parents Xavier)</t>
  </si>
  <si>
    <t>report 2020, report 2021 - mai 2022 - retour mai 2023</t>
  </si>
  <si>
    <t>Epner</t>
  </si>
  <si>
    <t>Marie Curie Str 15A</t>
  </si>
  <si>
    <t>Wenzenbach</t>
  </si>
  <si>
    <t>00,49,171,3400180</t>
  </si>
  <si>
    <t>3p - 17 et 14 ans (seule femme)</t>
  </si>
  <si>
    <t>Notaire (6%)</t>
  </si>
  <si>
    <t>Taxe habitation</t>
  </si>
  <si>
    <t>Taxe fonciere</t>
  </si>
  <si>
    <t>Eau</t>
  </si>
  <si>
    <t>Electricité</t>
  </si>
  <si>
    <t>Internet</t>
  </si>
  <si>
    <t>Cléder</t>
  </si>
  <si>
    <t>Plouescat</t>
  </si>
  <si>
    <t>Natalia</t>
  </si>
  <si>
    <t>Jardin du Leon</t>
  </si>
  <si>
    <t>Porte</t>
  </si>
  <si>
    <t>Assurance</t>
  </si>
  <si>
    <t>Amarrim</t>
  </si>
  <si>
    <t>Frais Cleder et Plouescat 2022</t>
  </si>
  <si>
    <t>acompte le 30/05/2002</t>
  </si>
  <si>
    <t>acompte le 07/06/2022</t>
  </si>
  <si>
    <t>1p+2 chiens - attention des poils en 2022</t>
  </si>
  <si>
    <t>acommte le 09/06/2022</t>
  </si>
  <si>
    <t>Acompte 2023 Cleder</t>
  </si>
  <si>
    <t>acompte le 12/06/2022</t>
  </si>
  <si>
    <t>Ellen</t>
  </si>
  <si>
    <t>Hetterich</t>
  </si>
  <si>
    <t>Haupstrasse 33</t>
  </si>
  <si>
    <t>D-67125</t>
  </si>
  <si>
    <t>Daustadt-Schauerchein</t>
  </si>
  <si>
    <t>00,49,15771803503</t>
  </si>
  <si>
    <t>ellen.hetterich@yahoo.com</t>
  </si>
  <si>
    <t>3p + 1 chien (enfant : 3,5 ans)</t>
  </si>
  <si>
    <t>acomote le 17/06/2022</t>
  </si>
  <si>
    <t>Tilmann</t>
  </si>
  <si>
    <t>Sabine + Elisabeth</t>
  </si>
  <si>
    <t xml:space="preserve">Baereneggweg 8 </t>
  </si>
  <si>
    <t>CH-3658</t>
  </si>
  <si>
    <t>Merligen</t>
  </si>
  <si>
    <t>00,41,798553763</t>
  </si>
  <si>
    <t>familie.tilmann@bluewin.ch</t>
  </si>
  <si>
    <t>2p + 1 chuen</t>
  </si>
  <si>
    <t>en mai2022</t>
  </si>
  <si>
    <t>2p+2chiens (2 chambres !)</t>
  </si>
  <si>
    <t>Thiele</t>
  </si>
  <si>
    <t>Anja und Ulf</t>
  </si>
  <si>
    <t>Teichstrasse 5</t>
  </si>
  <si>
    <t>D-03159</t>
  </si>
  <si>
    <t>NeiBe-Halxetal</t>
  </si>
  <si>
    <t>00,49,172,798,9242</t>
  </si>
  <si>
    <t>ulf.anja@freenet.de</t>
  </si>
  <si>
    <t>Feyenklassen</t>
  </si>
  <si>
    <t>Zum Naubour 5</t>
  </si>
  <si>
    <t>D-66706</t>
  </si>
  <si>
    <t>Perl</t>
  </si>
  <si>
    <t>all-fr</t>
  </si>
  <si>
    <t>00,352,621,298,496</t>
  </si>
  <si>
    <t>00,49,6558,412,9838</t>
  </si>
  <si>
    <t>marc.feyenklassen@gmail.com</t>
  </si>
  <si>
    <t>4p+2chiens</t>
  </si>
  <si>
    <t>Hoppersheider Weg 13</t>
  </si>
  <si>
    <t>D-51467</t>
  </si>
  <si>
    <t>00,49,171,8315295</t>
  </si>
  <si>
    <t>bo.odenthal@t-online.de</t>
  </si>
  <si>
    <t>2p+3 chiens</t>
  </si>
  <si>
    <t>acompte le 05/07/2022</t>
  </si>
  <si>
    <t xml:space="preserve">Montalvao </t>
  </si>
  <si>
    <t>Antonio e Nicole</t>
  </si>
  <si>
    <t>Rembrandt strasse 86</t>
  </si>
  <si>
    <t>D-41466</t>
  </si>
  <si>
    <t>00,49,174,99,11332</t>
  </si>
  <si>
    <t>00,49,2131,7421204</t>
  </si>
  <si>
    <t>blackstream@gmx.net</t>
  </si>
  <si>
    <t>6p dont 4 enfants</t>
  </si>
  <si>
    <t>Blatz</t>
  </si>
  <si>
    <t>Ulrike</t>
  </si>
  <si>
    <t>Hufssenweg 3a</t>
  </si>
  <si>
    <t>D-84497</t>
  </si>
  <si>
    <t>Hongau</t>
  </si>
  <si>
    <t>00,49,152,54500560</t>
  </si>
  <si>
    <t>ublatz@blatz-kunststoffwerk.de</t>
  </si>
  <si>
    <t>2p+4chiens petits</t>
  </si>
  <si>
    <t>00,49,82942316</t>
  </si>
  <si>
    <t>Annulation le 13/08/2022</t>
  </si>
  <si>
    <t>acompte le 16/08/2022</t>
  </si>
  <si>
    <t>Mrowotzky</t>
  </si>
  <si>
    <t>Kornelia</t>
  </si>
  <si>
    <t>kornelia_mrowitzky@web.de</t>
  </si>
  <si>
    <t>00,49,175,20,40,323</t>
  </si>
  <si>
    <t>retour 2022</t>
  </si>
  <si>
    <t>2p (papa, maman + fille)</t>
  </si>
  <si>
    <t>2p - 3 chiens + 2p 1 semaine</t>
  </si>
  <si>
    <t>Bodammer</t>
  </si>
  <si>
    <t>00,49,753175752</t>
  </si>
  <si>
    <t>lena_bodammer@web.de</t>
  </si>
  <si>
    <t>4p + 3 chiens</t>
  </si>
  <si>
    <t>Frais Cleder et Plouescat (Oct-Dec 2022)</t>
  </si>
  <si>
    <t>retour plouescat 2022</t>
  </si>
  <si>
    <t>avaient annulé en 2020</t>
  </si>
  <si>
    <t>2p+1 chien</t>
  </si>
  <si>
    <t>Jazu</t>
  </si>
  <si>
    <t>Adrian</t>
  </si>
  <si>
    <t>Eichweg 9</t>
  </si>
  <si>
    <t>ajau@gmx.ch</t>
  </si>
  <si>
    <t>Zug</t>
  </si>
  <si>
    <t xml:space="preserve">CH-6300 </t>
  </si>
  <si>
    <t>00,41 79 321 04 58</t>
  </si>
  <si>
    <t>acomptele 11/10/2022</t>
  </si>
  <si>
    <t>avec Eilmes</t>
  </si>
  <si>
    <t>acompte le 12/10/2022</t>
  </si>
  <si>
    <t>00,41,79,3530670</t>
  </si>
  <si>
    <t>le 18/10/22</t>
  </si>
  <si>
    <t>Wüest</t>
  </si>
  <si>
    <t>Erika und Martin</t>
  </si>
  <si>
    <t>Hallenweg 6</t>
  </si>
  <si>
    <t>CH-4132</t>
  </si>
  <si>
    <t>Muttenz</t>
  </si>
  <si>
    <t>00,41,79,442,01,33</t>
  </si>
  <si>
    <t>e.mwuest@bluewin.ch</t>
  </si>
  <si>
    <t>Hunde-Urlaub</t>
  </si>
  <si>
    <t>acompte le 05/12/2022</t>
  </si>
  <si>
    <t>taxe habitation 2023</t>
  </si>
  <si>
    <t>IR payé en 2019 (sur revenus 2018)</t>
  </si>
  <si>
    <t>IR payé en 2020 (sur revenus 2019)</t>
  </si>
  <si>
    <t>IR payé en 2022 (sur revenus 2021)</t>
  </si>
  <si>
    <t>IR payé en 2021 (sur revenus 2020)</t>
  </si>
  <si>
    <t>Revenu_XC 2019</t>
  </si>
  <si>
    <t>Revenu_XC 2020</t>
  </si>
  <si>
    <t>Revenu_XC 2021</t>
  </si>
  <si>
    <t>Revenu_XC 2022</t>
  </si>
  <si>
    <t>Revenu_NC 2019</t>
  </si>
  <si>
    <t>Revenu_NC 2020</t>
  </si>
  <si>
    <t>Revenu_NC 2021</t>
  </si>
  <si>
    <t>Revenu_NC 2022</t>
  </si>
  <si>
    <t>AVANCE</t>
  </si>
  <si>
    <t>Goldbeck</t>
  </si>
  <si>
    <t>Neustädter star 4</t>
  </si>
  <si>
    <t>D-45701</t>
  </si>
  <si>
    <t>Herten</t>
  </si>
  <si>
    <t>00,49,23665896670</t>
  </si>
  <si>
    <t>goldbeck@nanometric.de</t>
  </si>
  <si>
    <t>6p dont 4 enfants 9-16-18-18</t>
  </si>
  <si>
    <t>Carsten-Schützz</t>
  </si>
  <si>
    <t>Auf der Valstadt 8</t>
  </si>
  <si>
    <t>D-59846</t>
  </si>
  <si>
    <t>Sundern</t>
  </si>
  <si>
    <t>00,49,15120066050</t>
  </si>
  <si>
    <t>claudia101175@yahoo.de</t>
  </si>
  <si>
    <t>3 p - 13 ans</t>
  </si>
  <si>
    <t>Huemer</t>
  </si>
  <si>
    <t>Martina &amp; Christian</t>
  </si>
  <si>
    <t>Leuchtenbergweg 2</t>
  </si>
  <si>
    <t>Aut-83131</t>
  </si>
  <si>
    <t>Lindau</t>
  </si>
  <si>
    <t>00,43,699,119,71,621</t>
  </si>
  <si>
    <t>5-6p</t>
  </si>
  <si>
    <t>huemer.martina@gmail.com</t>
  </si>
  <si>
    <t>acompte le 02/01/2023</t>
  </si>
  <si>
    <t>acopte le 03/01/2023</t>
  </si>
  <si>
    <t>acompte le 03/01/2023</t>
  </si>
  <si>
    <t>acompte le 04/01/2023</t>
  </si>
  <si>
    <t>retour Covid annulation</t>
  </si>
  <si>
    <t>Krieg</t>
  </si>
  <si>
    <t>Volker</t>
  </si>
  <si>
    <t>00,49,177,87,68898</t>
  </si>
  <si>
    <t>v.krieg@gmx.net</t>
  </si>
  <si>
    <t>3p (5 ans)</t>
  </si>
  <si>
    <t>07/01/2023 - whatsapp sans contrat maldives</t>
  </si>
  <si>
    <t>blumen.glantschnig@telfs.com</t>
  </si>
  <si>
    <t xml:space="preserve">Glantschnig  </t>
  </si>
  <si>
    <t>00,49,6641222726</t>
  </si>
  <si>
    <t>retour 2019 plouecat</t>
  </si>
  <si>
    <t xml:space="preserve">Kolschmann </t>
  </si>
  <si>
    <t>christiane.kolschmann@gmx.de</t>
  </si>
  <si>
    <t>00,49,1777677066</t>
  </si>
  <si>
    <t>Christiana</t>
  </si>
  <si>
    <t>00,49176-96816896</t>
  </si>
  <si>
    <t>5 p dont 3 enfants</t>
  </si>
  <si>
    <t>Laudi</t>
  </si>
  <si>
    <t xml:space="preserve"> </t>
  </si>
  <si>
    <t>c.laudi@ib-laudi.de</t>
  </si>
  <si>
    <t>00,49,1708620156</t>
  </si>
  <si>
    <t>00,49,17696500398</t>
  </si>
  <si>
    <t>Steinhannshof Strasse 32e</t>
  </si>
  <si>
    <t>D-45309</t>
  </si>
  <si>
    <t>4 -enfants 12 et 15</t>
  </si>
  <si>
    <t>625 le 18/01</t>
  </si>
  <si>
    <t>620 le 18/01</t>
  </si>
  <si>
    <t>s.epner@gmx.de</t>
  </si>
  <si>
    <t>annulé le 29/01/2023</t>
  </si>
  <si>
    <t>Kolling</t>
  </si>
  <si>
    <t>Jutta und Peter</t>
  </si>
  <si>
    <t>Ursulastrasse 10</t>
  </si>
  <si>
    <t>D-45131</t>
  </si>
  <si>
    <t>00,49,163,29223045</t>
  </si>
  <si>
    <t>4p - 2 couples</t>
  </si>
  <si>
    <t>Beckers</t>
  </si>
  <si>
    <t>Ursula und Norbert</t>
  </si>
  <si>
    <t>Kuckuckstrasse 36</t>
  </si>
  <si>
    <t>D45259</t>
  </si>
  <si>
    <t>00,49,172,8084266</t>
  </si>
  <si>
    <t>norbert.beckers05@gmail.com</t>
  </si>
  <si>
    <t>Hebelerweg 92</t>
  </si>
  <si>
    <t>D-44388</t>
  </si>
  <si>
    <t>00,49,151,58243815</t>
  </si>
  <si>
    <t>stefan.brindt@gmx.net</t>
  </si>
  <si>
    <t>acompte le 07/02/2023</t>
  </si>
  <si>
    <t>j.kolling@online.de</t>
  </si>
  <si>
    <t>acompte le 07/01/2023 - retour Covid annulation</t>
  </si>
  <si>
    <t>acompte le 10/02/2023</t>
  </si>
  <si>
    <t>Roussel</t>
  </si>
  <si>
    <t>Marie</t>
  </si>
  <si>
    <t>Marie Roussel &lt;mariepre@hotmail.fr&gt;</t>
  </si>
  <si>
    <t>06.26.48.36.14</t>
  </si>
  <si>
    <t>49 - 2 enfant</t>
  </si>
  <si>
    <t xml:space="preserve">Eliane </t>
  </si>
  <si>
    <t>Krebs</t>
  </si>
  <si>
    <t xml:space="preserve">Alustrasse 19, </t>
  </si>
  <si>
    <t xml:space="preserve">CH-3940 </t>
  </si>
  <si>
    <t>Steg</t>
  </si>
  <si>
    <t>00,41,799188722</t>
  </si>
  <si>
    <t>3p+2chiens</t>
  </si>
  <si>
    <t>Kamps</t>
  </si>
  <si>
    <t>benekamps@gmail.com</t>
  </si>
  <si>
    <t xml:space="preserve">Glauburgstraße 7, </t>
  </si>
  <si>
    <t xml:space="preserve">D-63694 </t>
  </si>
  <si>
    <t>Limeshain</t>
  </si>
  <si>
    <t>00,49,1741944209</t>
  </si>
  <si>
    <t>4-5 + 1 chien</t>
  </si>
  <si>
    <t>Année 2024</t>
  </si>
  <si>
    <t>CA - 2024</t>
  </si>
  <si>
    <t>1p + 2 chiens retour</t>
  </si>
  <si>
    <t>18/03/2023 - Whatsapp</t>
  </si>
  <si>
    <t>virement Noemie</t>
  </si>
  <si>
    <t>Gerl</t>
  </si>
  <si>
    <t>Ute</t>
  </si>
  <si>
    <t>Dorfplatz 3</t>
  </si>
  <si>
    <t>D-94342</t>
  </si>
  <si>
    <t>Straskirchen</t>
  </si>
  <si>
    <t>00,49,1607031720</t>
  </si>
  <si>
    <t>ute_gerl@gmx.de</t>
  </si>
  <si>
    <t>acompte le 17 marts 2023</t>
  </si>
  <si>
    <t>acompte le 27/03/2023</t>
  </si>
  <si>
    <t>Knäble - 2 lits</t>
  </si>
  <si>
    <t xml:space="preserve">Brindt </t>
  </si>
  <si>
    <t>Tillmanns-Larisch</t>
  </si>
  <si>
    <t>Kautenburger</t>
  </si>
  <si>
    <t>D57147</t>
  </si>
  <si>
    <t>00,49,157,81740611</t>
  </si>
  <si>
    <t>Gerhard.Meier-Kautenburger@malteser.org</t>
  </si>
  <si>
    <t>6p+2 chiens</t>
  </si>
  <si>
    <t>acompte lde 1000 le 20/04</t>
  </si>
  <si>
    <t>Kurus</t>
  </si>
  <si>
    <t>Birgit und Ronald</t>
  </si>
  <si>
    <t>Robert-Koch Strasse 15</t>
  </si>
  <si>
    <t>D-77743</t>
  </si>
  <si>
    <t>Neuried</t>
  </si>
  <si>
    <t>00,49,160,94958719</t>
  </si>
  <si>
    <t>00,49,170,9393346</t>
  </si>
  <si>
    <t>birgit@kurus.de</t>
  </si>
  <si>
    <r>
      <t>2p + 1 chien /</t>
    </r>
    <r>
      <rPr>
        <sz val="8"/>
        <color rgb="FFFF0000"/>
        <rFont val="Arial"/>
        <family val="2"/>
      </rPr>
      <t xml:space="preserve"> 2 lits doubles</t>
    </r>
  </si>
  <si>
    <t>00,41,79,232,87,33</t>
  </si>
  <si>
    <t>In den Pützbenden 6 </t>
  </si>
  <si>
    <t xml:space="preserve">Christian + Natalie </t>
  </si>
  <si>
    <t>Sallmann </t>
  </si>
  <si>
    <t xml:space="preserve">Würselen </t>
  </si>
  <si>
    <t>D-52146</t>
  </si>
  <si>
    <t>00 49 174 3469163 </t>
  </si>
  <si>
    <t>christian.sallmann@lancom.de </t>
  </si>
  <si>
    <t>Anne Isabelle</t>
  </si>
  <si>
    <t>Anne Isabelle Quelderie &lt;anneisabelleq@gmail.com&gt;</t>
  </si>
  <si>
    <t>internet image</t>
  </si>
  <si>
    <t>235 Avenue de la Foret</t>
  </si>
  <si>
    <t>La capelle les Boulognes</t>
  </si>
  <si>
    <t>06,25,88,42,34</t>
  </si>
  <si>
    <t>06,63,11,14,27</t>
  </si>
  <si>
    <t>acompte le 16 mai 2023</t>
  </si>
  <si>
    <t>acompte le 4 mai 2023</t>
  </si>
  <si>
    <t>Antonio &amp; Nicole</t>
  </si>
  <si>
    <t>oui sur premiere semaine (1500)</t>
  </si>
  <si>
    <t>dernier acompte le 27/05/23</t>
  </si>
  <si>
    <t>Carsten-Schütz</t>
  </si>
  <si>
    <t>2p - 3 chiens + 2p 1 semaine (4)</t>
  </si>
  <si>
    <t>retour 2021 et 2022 et 2023</t>
  </si>
  <si>
    <t>acompte le 06/06/2023</t>
  </si>
  <si>
    <t>5p+4chiens petits</t>
  </si>
  <si>
    <t>Hermann</t>
  </si>
  <si>
    <t>Rita.Strackbein@diskurs.net</t>
  </si>
  <si>
    <t xml:space="preserve">Rita </t>
  </si>
  <si>
    <t xml:space="preserve">Strackbein </t>
  </si>
  <si>
    <t>Jägerhofstraße 38</t>
  </si>
  <si>
    <t>00,49,1701688999</t>
  </si>
  <si>
    <t>acompte le 19/06/2023</t>
  </si>
  <si>
    <t>acompte le 20/06</t>
  </si>
  <si>
    <t>Lee</t>
  </si>
  <si>
    <t>Soo-Hyun</t>
  </si>
  <si>
    <t>10 Chemin des Ruettes</t>
  </si>
  <si>
    <t>FR-</t>
  </si>
  <si>
    <t>soohyun.lee@outlook.com</t>
  </si>
  <si>
    <t>christoph.hermann@archimedes-leasing.de</t>
  </si>
  <si>
    <t>Grisselberg 6</t>
  </si>
  <si>
    <t>D-56130</t>
  </si>
  <si>
    <t>Bad Ems</t>
  </si>
  <si>
    <t>00,49,171,3111289</t>
  </si>
  <si>
    <t>Miertsch</t>
  </si>
  <si>
    <t>f.miertsch@web.de</t>
  </si>
  <si>
    <t>00,49,1752914925</t>
  </si>
  <si>
    <t>Delaforce</t>
  </si>
  <si>
    <t>Shaun</t>
  </si>
  <si>
    <t>00,44,7768,535,349</t>
  </si>
  <si>
    <t>uk</t>
  </si>
  <si>
    <t>Angleterre</t>
  </si>
  <si>
    <t>Pelouse</t>
  </si>
  <si>
    <t>570 le 17/08/2023</t>
  </si>
  <si>
    <t>Mrowitzky</t>
  </si>
  <si>
    <t>avaient annulé à cause du covid en dec 2020</t>
  </si>
  <si>
    <t>Zell</t>
  </si>
  <si>
    <t>Schlehenweg 2</t>
  </si>
  <si>
    <t>D89195</t>
  </si>
  <si>
    <t>Staig</t>
  </si>
  <si>
    <t>00,49,73463072015</t>
  </si>
  <si>
    <t>00,49,176,472,16,329</t>
  </si>
  <si>
    <t>sanzell75@gmx.de</t>
  </si>
  <si>
    <t>4p 15+17) + 2 chiens</t>
  </si>
  <si>
    <t>Benedikt &amp; Linda</t>
  </si>
  <si>
    <t>mutz.sandra@googlemail.com</t>
  </si>
  <si>
    <t xml:space="preserve">Sandra </t>
  </si>
  <si>
    <t>Mutz</t>
  </si>
  <si>
    <t>Hartweg 5</t>
  </si>
  <si>
    <t>D-72793</t>
  </si>
  <si>
    <t>Pfullingen</t>
  </si>
  <si>
    <t>00,49,71217534718</t>
  </si>
  <si>
    <t>00,49,160,94781088</t>
  </si>
  <si>
    <t>745 le 28/08/2023</t>
  </si>
  <si>
    <r>
      <t xml:space="preserve">Anja und Ulf </t>
    </r>
    <r>
      <rPr>
        <sz val="8"/>
        <color rgb="FFFF0000"/>
        <rFont val="Arial"/>
        <family val="2"/>
      </rPr>
      <t>(cash)</t>
    </r>
  </si>
  <si>
    <t>Neuhausen</t>
  </si>
  <si>
    <t>Martin Luther King Strasse 24</t>
  </si>
  <si>
    <t>Würselen</t>
  </si>
  <si>
    <t>00,49,240582425</t>
  </si>
  <si>
    <t>00,49,163,2119033</t>
  </si>
  <si>
    <t>wneuh641@gmail.com</t>
  </si>
  <si>
    <t>Schneider</t>
  </si>
  <si>
    <t>Susanne</t>
  </si>
  <si>
    <t>Zieglerstr.28</t>
  </si>
  <si>
    <t>D-40878</t>
  </si>
  <si>
    <t>00,49,2102 871956</t>
  </si>
  <si>
    <t>00,49,173,824,0386</t>
  </si>
  <si>
    <t>susanne.schneider@securat.de</t>
  </si>
  <si>
    <t>3p+3chiens</t>
  </si>
  <si>
    <t>4p + 2 chien (boxer et cane corso)- 88 ans maman</t>
  </si>
  <si>
    <r>
      <t xml:space="preserve">Adrian - </t>
    </r>
    <r>
      <rPr>
        <sz val="8"/>
        <color rgb="FFFF0000"/>
        <rFont val="Arial"/>
        <family val="2"/>
      </rPr>
      <t>Virement</t>
    </r>
  </si>
  <si>
    <t>1000 le 01/09/2023</t>
  </si>
  <si>
    <t>920 le 01/09/2023</t>
  </si>
  <si>
    <t>Karrasch</t>
  </si>
  <si>
    <t>Erwin</t>
  </si>
  <si>
    <t>Ringerottstrasse 77</t>
  </si>
  <si>
    <t>D-45772</t>
  </si>
  <si>
    <t>Marl</t>
  </si>
  <si>
    <t>00,49,2365,2012723</t>
  </si>
  <si>
    <t>e-kar@hotmail.de</t>
  </si>
  <si>
    <t>4p + 2 chiens (enfant 16 ans)</t>
  </si>
  <si>
    <t>Financement Roscoff (Septembre 2023)</t>
  </si>
  <si>
    <t>Jau</t>
  </si>
  <si>
    <t>Wise</t>
  </si>
  <si>
    <t>tres sale</t>
  </si>
  <si>
    <t>Schuhmacher</t>
  </si>
  <si>
    <t>Corkstr. 14a</t>
  </si>
  <si>
    <t>D-51103</t>
  </si>
  <si>
    <t>00,49,151,54725552</t>
  </si>
  <si>
    <t>katrin.schuhmacher@icloud.com</t>
  </si>
  <si>
    <t>hundeurlaub - pub</t>
  </si>
  <si>
    <t>Dünenweg 5</t>
  </si>
  <si>
    <t>D-40468</t>
  </si>
  <si>
    <t>00,49,177,331,40,49</t>
  </si>
  <si>
    <t>5p+1 chiens (12,16,17)</t>
  </si>
  <si>
    <t>Frais de route 2023 Xavier</t>
  </si>
  <si>
    <t>Rackisch</t>
  </si>
  <si>
    <t>Mathias</t>
  </si>
  <si>
    <t>Molerweg 1</t>
  </si>
  <si>
    <t>D-32130</t>
  </si>
  <si>
    <t>Enget</t>
  </si>
  <si>
    <t>00,49,160,26,74807</t>
  </si>
  <si>
    <t>mathias.rackisch@googlemail.com</t>
  </si>
  <si>
    <t>3p + 1 chien</t>
  </si>
  <si>
    <t>Epargne (12000 CA Xavier +12000 CA Nathalie)</t>
  </si>
  <si>
    <t>Compte CA Cleder</t>
  </si>
  <si>
    <t>Besoin Prêt</t>
  </si>
  <si>
    <t>Compte Roscoff</t>
  </si>
  <si>
    <t>à recevoir d'ici le 01/04</t>
  </si>
  <si>
    <t>jutta.greiner@gmx.net</t>
  </si>
  <si>
    <t>Loyer Xavier</t>
  </si>
  <si>
    <t>00,49,175,2051862</t>
  </si>
  <si>
    <t>retour 2015, 2016 et 2018 et 2022</t>
  </si>
  <si>
    <t>ostsee-traum@web.de</t>
  </si>
  <si>
    <t>Detlef Arnold</t>
  </si>
  <si>
    <t>500€ le 08/10/2023</t>
  </si>
  <si>
    <t>Lichtner</t>
  </si>
  <si>
    <t>Silke</t>
  </si>
  <si>
    <t>Südstrasse 20</t>
  </si>
  <si>
    <t>D-46562</t>
  </si>
  <si>
    <t>Voerde</t>
  </si>
  <si>
    <t>00,49,2811640855</t>
  </si>
  <si>
    <t>00,49,172,2608328</t>
  </si>
  <si>
    <t>silke_lichtner@web.de</t>
  </si>
  <si>
    <t>3p+3chiens (gros)</t>
  </si>
  <si>
    <t>thomaskrebs@gmx.ch</t>
  </si>
  <si>
    <t xml:space="preserve"> 300 le 17/10/2023</t>
  </si>
  <si>
    <t>c.hueltenschmidt@yahoo.de&gt;</t>
  </si>
  <si>
    <t xml:space="preserve">Carsten </t>
  </si>
  <si>
    <t>Hültenschmidt</t>
  </si>
  <si>
    <t>Quelderie</t>
  </si>
  <si>
    <t>1170 le 21/10/23</t>
  </si>
  <si>
    <t>acomptele 26/10/2023</t>
  </si>
  <si>
    <t>2p+1chat</t>
  </si>
  <si>
    <t>retour 2009, 2010, 2012</t>
  </si>
  <si>
    <t>Prêt 12 ans - 25000€/an - remboursement 1 annuité 30 septembre</t>
  </si>
  <si>
    <t>Moquet</t>
  </si>
  <si>
    <t>Claire</t>
  </si>
  <si>
    <t>claire.moquet@gmail.com</t>
  </si>
  <si>
    <t>utejacobs@gmx.net</t>
  </si>
  <si>
    <t>Jacobs</t>
  </si>
  <si>
    <t>00,49,162,963,4934</t>
  </si>
  <si>
    <t>Nordschau 1</t>
  </si>
  <si>
    <t>D-24864</t>
  </si>
  <si>
    <t>Brodersby-Goltoft</t>
  </si>
  <si>
    <t>1245 le 15/11/2023</t>
  </si>
  <si>
    <t>272,50 le 15/11/2023</t>
  </si>
  <si>
    <t>Filles (Parents Xavier) - à rembourser 10000 Noemie</t>
  </si>
  <si>
    <t>Axa Xavier et Nathalie</t>
  </si>
  <si>
    <t>Notaire - Donation</t>
  </si>
  <si>
    <t>Xavier Avance Salaire ?</t>
  </si>
  <si>
    <t>Compte Roscoff ? - acomptes location</t>
  </si>
  <si>
    <t>Filles (Parents Xavier) - 30000</t>
  </si>
  <si>
    <t>Semaine N° 46 - 11-18 Novembre 2023</t>
  </si>
  <si>
    <t>Semaine N° 47 - 18-25 Novembre 2023</t>
  </si>
  <si>
    <t>Semaine N° 48 - 25 Novembre-2 Decembre 2023</t>
  </si>
  <si>
    <t>Semaine N° 49 - 2-9 Decembre 2023</t>
  </si>
  <si>
    <t>Semaine N° 50 - 9-16 Decembre 2023</t>
  </si>
  <si>
    <t>Semaine N° 51 - 16-23 Decembre 2023</t>
  </si>
  <si>
    <t>Semaine N° 52 - 23-30 Decembre 2023</t>
  </si>
  <si>
    <t>Semaine N° 1 - 30 Decembre - 6 Janvier 2024</t>
  </si>
  <si>
    <t>Semaine N° 2 - 6-13 Janvier 2024</t>
  </si>
  <si>
    <t>Semaine N° 3 -13-20 Janvier 2024</t>
  </si>
  <si>
    <t>Semaine N° 4 - 20-27 Janvier 2024</t>
  </si>
  <si>
    <t>Semaine N° 5 - 27 Janvier-3 Fevrier 2024</t>
  </si>
  <si>
    <t>Semaine N° 6 - 3-10 Fevrier 2024</t>
  </si>
  <si>
    <t>Semaine N° 7 - 10-17 Fevrier 2024</t>
  </si>
  <si>
    <t>Semaine N° 8 - 17-24 Fevrier 2024</t>
  </si>
  <si>
    <t>Semaine N° 9 - 24 fevrier-2 Mars 2024</t>
  </si>
  <si>
    <t>Semaine N° 10 - 2-9 Mars 2024</t>
  </si>
  <si>
    <t>Semaine N° 11 - 9-16 Mars 2024</t>
  </si>
  <si>
    <t>Semaine N° 12 - 16-23 Mars 2024</t>
  </si>
  <si>
    <t>Semaine N° 13 - 23-30 Mars 2024</t>
  </si>
  <si>
    <t>Semaine N° 45 - 4-11 Novembre 2023</t>
  </si>
  <si>
    <t>Tarif</t>
  </si>
  <si>
    <t>Semaine N° 44 - 04-11 Novembre 2023</t>
  </si>
  <si>
    <t>Semaine N° 43 - 28 Octobre -4 Novembre 2023</t>
  </si>
  <si>
    <t>Total</t>
  </si>
  <si>
    <t>Gruhn</t>
  </si>
  <si>
    <t>Josefshöhe 2a</t>
  </si>
  <si>
    <t>D-47551</t>
  </si>
  <si>
    <t>Bedburg-Hau</t>
  </si>
  <si>
    <t>00,49,151,42301031</t>
  </si>
  <si>
    <t>anke.wetter@web.de</t>
  </si>
  <si>
    <t>4p + 1chien</t>
  </si>
  <si>
    <t>Annulé - divorce</t>
  </si>
  <si>
    <t>Financement Roscoff (Decembre 2023)</t>
  </si>
  <si>
    <t>Frais CMB (800 frais de dossier - frais de garanties hypothécaire 1290 garantie)</t>
  </si>
  <si>
    <t>Demander à Axa une assurance : 112,50€/mois uniquement décès (100+100)</t>
  </si>
  <si>
    <t>CMB: 12 ans modulable - au bout de 1 ans on peut +30% rembourser : 2023: 1883€ avec assurance</t>
  </si>
  <si>
    <t>50-50 : 56,25€/mois</t>
  </si>
  <si>
    <t>4,12% : 1819 + 57 assurance</t>
  </si>
  <si>
    <t>Gagner de l'argent : Moduler 5-6%/an : gain sur le cout de credit</t>
  </si>
  <si>
    <t>coût : 62000 (=1819*144)</t>
  </si>
  <si>
    <t>Assurance : =56,25*144</t>
  </si>
  <si>
    <t>06,61,33,56,26</t>
  </si>
  <si>
    <t>Covid</t>
  </si>
  <si>
    <t>avec report CoVid 2020</t>
  </si>
  <si>
    <t>2019/2020 - Cléder</t>
  </si>
  <si>
    <t>2021/2022 - Cléder</t>
  </si>
  <si>
    <t>2022/2023 - Cléder</t>
  </si>
  <si>
    <t>2020/2021 - Cléder</t>
  </si>
  <si>
    <t>2019/2020</t>
  </si>
  <si>
    <t>2021/2022</t>
  </si>
  <si>
    <t>2022/2023</t>
  </si>
  <si>
    <t>2p + chien</t>
  </si>
  <si>
    <t>3p+1 chien</t>
  </si>
  <si>
    <t>2p+2 chiens</t>
  </si>
  <si>
    <t>4P - 2 chiens</t>
  </si>
  <si>
    <t>4 p+2 chiens (couples)</t>
  </si>
  <si>
    <t>3 (enfant 1 an) + 1 chien</t>
  </si>
  <si>
    <t>4p - 15 et 18 ans (peut etre) 1 chien ?</t>
  </si>
  <si>
    <t>4p-2chiens</t>
  </si>
  <si>
    <t>Addresse 1</t>
  </si>
  <si>
    <t>Langue</t>
  </si>
  <si>
    <t>Fixe</t>
  </si>
  <si>
    <t>Mobile</t>
  </si>
  <si>
    <t>Mail</t>
  </si>
  <si>
    <t>Montant réservation</t>
  </si>
  <si>
    <t>informations arrivée</t>
  </si>
  <si>
    <t>Remarque</t>
  </si>
  <si>
    <t>2020/2021 (Covid)</t>
  </si>
  <si>
    <t>Moyenne (Nov-Mars)</t>
  </si>
  <si>
    <t>COVID</t>
  </si>
  <si>
    <t>shaun.delaforce@btinternet.com</t>
  </si>
  <si>
    <t>vu avec Marc Cardinaux ; numero de compte transmis</t>
  </si>
  <si>
    <t>Credit agricolke. Facile</t>
  </si>
  <si>
    <t>virement enligne</t>
  </si>
  <si>
    <t>Loyer Xavier + Frais</t>
  </si>
  <si>
    <t>500 le 08/06/2022 (!) et annulation ensuite - 1200 en 21/12/2023</t>
  </si>
  <si>
    <t>décès 100%</t>
  </si>
  <si>
    <t>PTIA 100%</t>
  </si>
  <si>
    <t>TAEA</t>
  </si>
  <si>
    <t>Xavier - Total</t>
  </si>
  <si>
    <t>Hypothèque</t>
  </si>
  <si>
    <t>ITT</t>
  </si>
  <si>
    <t>Total/mois</t>
  </si>
  <si>
    <t>8 premières années</t>
  </si>
  <si>
    <t>CA: 12 ans modulable - au bout de 1 ans on peut +30% rembourser : 2023: 1883€ avec assurance</t>
  </si>
  <si>
    <t>Remboursement mensuel (hors assurance)</t>
  </si>
  <si>
    <t>Coût assrance Nathalie</t>
  </si>
  <si>
    <t>Assurance obligatoire</t>
  </si>
  <si>
    <t>Remboursement mensuel avec assurance 100%</t>
  </si>
  <si>
    <t>Remboursement mensuel avec assurance 200%</t>
  </si>
  <si>
    <t>TAEG annuel estimé</t>
  </si>
  <si>
    <t>Frais de dossier</t>
  </si>
  <si>
    <t>Nathalie - Total</t>
  </si>
  <si>
    <t>Assurance 2 têtes</t>
  </si>
  <si>
    <t>Montant intérêts</t>
  </si>
  <si>
    <t>Coût assurance Xavier</t>
  </si>
  <si>
    <t>Assurance obligatoire (~moyenne Xavier+Nathalie)</t>
  </si>
  <si>
    <t>Coût total 2 têtes</t>
  </si>
  <si>
    <t>Taux Prêt Immobilier</t>
  </si>
  <si>
    <t xml:space="preserve">Montant emprunté </t>
  </si>
  <si>
    <t>CMB1</t>
  </si>
  <si>
    <t>CMB2</t>
  </si>
  <si>
    <t>Charges 2023</t>
  </si>
  <si>
    <t>Free</t>
  </si>
  <si>
    <t>Comptable</t>
  </si>
  <si>
    <t>Petit Matériel</t>
  </si>
  <si>
    <t>Electricité Engie</t>
  </si>
  <si>
    <t xml:space="preserve">Nathalia </t>
  </si>
  <si>
    <t>Prêt Plouescat</t>
  </si>
  <si>
    <t>Barre</t>
  </si>
  <si>
    <t>Anne Sophie</t>
  </si>
  <si>
    <t>Foerderestr 30</t>
  </si>
  <si>
    <t>D-78050</t>
  </si>
  <si>
    <t>Villingen-Schwenningen</t>
  </si>
  <si>
    <t>Allemegne</t>
  </si>
  <si>
    <t>00,49,77,21,807,86,85</t>
  </si>
  <si>
    <t>00,49,172,4273488</t>
  </si>
  <si>
    <t>sophie2663@hotmail.fr</t>
  </si>
  <si>
    <t>Assurance Xavier 50</t>
  </si>
  <si>
    <t>Assurance Nathalie 50</t>
  </si>
  <si>
    <t>Cout crédit</t>
  </si>
  <si>
    <t>Coût avec crédit 1 tête - avec assurance</t>
  </si>
  <si>
    <t>Coût Total avec crédit 2 têtes - avec assurance</t>
  </si>
  <si>
    <t>pas d'ahrres</t>
  </si>
  <si>
    <t>RESULTAT NET</t>
  </si>
  <si>
    <t>Morocutti</t>
  </si>
  <si>
    <t>00,49,151,53538093</t>
  </si>
  <si>
    <t>morocutti@t-online.de</t>
  </si>
  <si>
    <t>Anke &amp; Rolland (dr)</t>
  </si>
  <si>
    <t>Gauff</t>
  </si>
  <si>
    <t>Bucher Str 23</t>
  </si>
  <si>
    <t>D-90522</t>
  </si>
  <si>
    <t>Oberasbach</t>
  </si>
  <si>
    <t>00,49,911,69946999</t>
  </si>
  <si>
    <t>00,49,170,3178199</t>
  </si>
  <si>
    <t>mgauff@mgauff.com</t>
  </si>
  <si>
    <t>272,5 le 29/12/2023</t>
  </si>
  <si>
    <t>1245 le 7/12</t>
  </si>
  <si>
    <t>Ehmcke</t>
  </si>
  <si>
    <t>Malte-Joachim</t>
  </si>
  <si>
    <t>Eckerkamp 7a</t>
  </si>
  <si>
    <t>D-22391</t>
  </si>
  <si>
    <t>00,49,151,240,40,219</t>
  </si>
  <si>
    <t>mjehmcke@t-online.de</t>
  </si>
  <si>
    <t>Femme de menage</t>
  </si>
  <si>
    <t>4-6p - serviettes et GDT</t>
  </si>
  <si>
    <t>Gehrmann</t>
  </si>
  <si>
    <t>Reiherstieg 9</t>
  </si>
  <si>
    <t>D-27751</t>
  </si>
  <si>
    <t>Delmenhorst</t>
  </si>
  <si>
    <t>00,49,172,40,19740</t>
  </si>
  <si>
    <t>andrea_gehrmann@web.de</t>
  </si>
  <si>
    <t>4 ou 6</t>
  </si>
  <si>
    <t>Charges 2024</t>
  </si>
  <si>
    <t>CA Roscoff</t>
  </si>
  <si>
    <t>CLEDER + PLOUESCAT + ROSCOFF</t>
  </si>
  <si>
    <t>Semaines Roscoff</t>
  </si>
  <si>
    <t>Prêt Roscoff</t>
  </si>
  <si>
    <t>Epargne (12200 CA Xavier +12200 CA Nathalie)</t>
  </si>
  <si>
    <t>Langer</t>
  </si>
  <si>
    <t>00,49,176,312,54254</t>
  </si>
  <si>
    <t>adrian.langer90@gmail.com</t>
  </si>
  <si>
    <t>Haubenthal</t>
  </si>
  <si>
    <t>Detlef &amp; Sabine</t>
  </si>
  <si>
    <t>Altleininger Strasse 2</t>
  </si>
  <si>
    <t>D-67317</t>
  </si>
  <si>
    <t>Altleiningen</t>
  </si>
  <si>
    <t>00,49,6356,9613444</t>
  </si>
  <si>
    <t>00,49,176,20428985</t>
  </si>
  <si>
    <t>1121 le 10/01/2024</t>
  </si>
  <si>
    <t>acompte le 10/01/2024</t>
  </si>
  <si>
    <t>Mauritz</t>
  </si>
  <si>
    <t>Alte Steige 11</t>
  </si>
  <si>
    <t>D-97286</t>
  </si>
  <si>
    <t>Winterhausen</t>
  </si>
  <si>
    <t>00,49,1795340382</t>
  </si>
  <si>
    <t>julia.mauritz@vogel.de</t>
  </si>
  <si>
    <t>357 le 11/01</t>
  </si>
  <si>
    <t>Sommer</t>
  </si>
  <si>
    <t>Beatrice</t>
  </si>
  <si>
    <t>Büetigenstrasse 42</t>
  </si>
  <si>
    <t>CH-3292</t>
  </si>
  <si>
    <t>Busswil BE</t>
  </si>
  <si>
    <t>00,41,78,913,41,81</t>
  </si>
  <si>
    <t>sommer_bea@hotmail.com</t>
  </si>
  <si>
    <t>6p+2chiens</t>
  </si>
  <si>
    <t>CMB3</t>
  </si>
  <si>
    <t>Axa + CMB</t>
  </si>
  <si>
    <t>Optalissime</t>
  </si>
  <si>
    <t>795 le 16/01/2024</t>
  </si>
  <si>
    <t>645 le 15/01/2024</t>
  </si>
  <si>
    <t>Axa + CA2</t>
  </si>
  <si>
    <t>Axa + CA3</t>
  </si>
  <si>
    <t>Neuberger</t>
  </si>
  <si>
    <t>Baumwasenstrasse 21</t>
  </si>
  <si>
    <t>D-73614</t>
  </si>
  <si>
    <t>Schorndorf</t>
  </si>
  <si>
    <t>00,49,1703314254</t>
  </si>
  <si>
    <t>info@neuberger-praezision.de</t>
  </si>
  <si>
    <t>344 le 17/01/2024</t>
  </si>
  <si>
    <t>Kleiss</t>
  </si>
  <si>
    <t>Nördliche Ringstrasse 6</t>
  </si>
  <si>
    <t>00,49,178,121,7522</t>
  </si>
  <si>
    <t>Kuebli</t>
  </si>
  <si>
    <t>Solindelack strasse 40</t>
  </si>
  <si>
    <t>CH-3128</t>
  </si>
  <si>
    <t>Ruemingen</t>
  </si>
  <si>
    <t>00,41,79,91,69634</t>
  </si>
  <si>
    <t>thomas.kuebli@fhotels.ch</t>
  </si>
  <si>
    <t>5p + 1 chiens 11 -13 -15</t>
  </si>
  <si>
    <t>625 le 04/02/2024</t>
  </si>
  <si>
    <t>Ewen</t>
  </si>
  <si>
    <t>43 avenue du bois</t>
  </si>
  <si>
    <t>L-1251</t>
  </si>
  <si>
    <t>00,352,691645213</t>
  </si>
  <si>
    <t>France_ewen@hotmail.com</t>
  </si>
  <si>
    <t>Axa4 + CA3</t>
  </si>
  <si>
    <t>Thüringen</t>
  </si>
  <si>
    <t>Antlje</t>
  </si>
  <si>
    <t>Nelkenweg 7</t>
  </si>
  <si>
    <t>D-75417</t>
  </si>
  <si>
    <t>Mühlacker</t>
  </si>
  <si>
    <t>00,49,171,9774881</t>
  </si>
  <si>
    <t>antje@boxfisch-design.de</t>
  </si>
  <si>
    <t>Birgitt und Felix</t>
  </si>
  <si>
    <t>Wasgaustrasse 30</t>
  </si>
  <si>
    <t>D-76870</t>
  </si>
  <si>
    <t>Kandel</t>
  </si>
  <si>
    <t>00,49,179,9795622</t>
  </si>
  <si>
    <t>birgit.schietinger@gmail.com</t>
  </si>
  <si>
    <t>4p ( 11-9)+1 golden</t>
  </si>
  <si>
    <t>forum</t>
  </si>
  <si>
    <t>acompte le 23/08/2023</t>
  </si>
  <si>
    <t>Alten</t>
  </si>
  <si>
    <t>15 rue de l'Ecole</t>
  </si>
  <si>
    <t>L-8466</t>
  </si>
  <si>
    <t>00,352,621,307794</t>
  </si>
  <si>
    <t>m.atten@mafidu.lu</t>
  </si>
  <si>
    <t>Korbas</t>
  </si>
  <si>
    <t>4 Rue Michel Klem</t>
  </si>
  <si>
    <t>Obersaasheim</t>
  </si>
  <si>
    <t>00,49,160,390,75935</t>
  </si>
  <si>
    <t>323 le 19/02/24</t>
  </si>
  <si>
    <t>347,5 le 19/02/24</t>
  </si>
  <si>
    <t>Interconnector</t>
  </si>
  <si>
    <t>Alte Gasse 9</t>
  </si>
  <si>
    <t>Becker </t>
  </si>
  <si>
    <t>Heike</t>
  </si>
  <si>
    <t>Königstein im Taunus </t>
  </si>
  <si>
    <t>D-61462</t>
  </si>
  <si>
    <t>0049 - 1733141010</t>
  </si>
  <si>
    <t>Marko</t>
  </si>
  <si>
    <t>Mock</t>
  </si>
  <si>
    <t>Neu-Dannenberger Strasse 72</t>
  </si>
  <si>
    <t>D-28879</t>
  </si>
  <si>
    <t>Grasberg</t>
  </si>
  <si>
    <t>00,49,171,725,3442</t>
  </si>
  <si>
    <t>marko.mock@t-online.de</t>
  </si>
  <si>
    <t>Plumacher</t>
  </si>
  <si>
    <t>Nachkgallenweg 1</t>
  </si>
  <si>
    <t>D-42871</t>
  </si>
  <si>
    <t>00,49,171,8113823</t>
  </si>
  <si>
    <t>Roestzeit@t-online.de</t>
  </si>
  <si>
    <t>Assurance prêt</t>
  </si>
  <si>
    <t>500 le 27/02/24</t>
  </si>
  <si>
    <t>720 le 25/02/2024</t>
  </si>
  <si>
    <t>Heike@Becker-Taunus.de</t>
  </si>
  <si>
    <t>Reif</t>
  </si>
  <si>
    <t xml:space="preserve">Pfarrer Kraus Strasse 9 </t>
  </si>
  <si>
    <t>Koblenz</t>
  </si>
  <si>
    <t>D-56077</t>
  </si>
  <si>
    <t>verena.reif@icloud.com</t>
  </si>
  <si>
    <t>1p+3chiens</t>
  </si>
  <si>
    <t>400 le 7/03/2024</t>
  </si>
  <si>
    <t>virement enligne le 11/03/2024</t>
  </si>
  <si>
    <t>Compte courant</t>
  </si>
  <si>
    <t>sabine.haubenthal@gmx.de</t>
  </si>
  <si>
    <t>arsreplica@freenet.de</t>
  </si>
  <si>
    <t>Heike &amp; Stephan</t>
  </si>
  <si>
    <t>00,49,152,21053427</t>
  </si>
  <si>
    <t>heike.jakob3@web.de</t>
  </si>
  <si>
    <t>Frais CA (800 frais de dossier - frais de garanties hypothécaire 1290 garantie)</t>
  </si>
  <si>
    <t>645 le 19/03/2024</t>
  </si>
  <si>
    <t>Schelle-Burger</t>
  </si>
  <si>
    <t>Rosenstrasse 9</t>
  </si>
  <si>
    <t>00,49,15150635692</t>
  </si>
  <si>
    <t>Nici71735@aol.com</t>
  </si>
  <si>
    <t>Financement Roscoff (Mars 2023)</t>
  </si>
  <si>
    <t>Epargne (12200 CA Xavier +10300 CA Nathalie)</t>
  </si>
  <si>
    <t>06,03,059843</t>
  </si>
  <si>
    <t>1390*2 - 2p+1 chien</t>
  </si>
  <si>
    <t>Ince</t>
  </si>
  <si>
    <t>Katja und Yilmaz</t>
  </si>
  <si>
    <t>Thie 25A</t>
  </si>
  <si>
    <t>D-22955</t>
  </si>
  <si>
    <t>Hoisdorf</t>
  </si>
  <si>
    <t>00,49,176,13,134041</t>
  </si>
  <si>
    <t>katja.ince@gmax.de</t>
  </si>
  <si>
    <t>oui - 400€ car voulaient Roscoff</t>
  </si>
  <si>
    <t>1120 - 4p adultes (85 ans)</t>
  </si>
  <si>
    <t>Interconnector RTE</t>
  </si>
  <si>
    <t>Rusner</t>
  </si>
  <si>
    <t>Kirstin</t>
  </si>
  <si>
    <t>Lärchenallee 47</t>
  </si>
  <si>
    <t>D-38550</t>
  </si>
  <si>
    <t>Isenbüttel</t>
  </si>
  <si>
    <t>00,49,172,4412812</t>
  </si>
  <si>
    <t>eowyn16@web.de</t>
  </si>
  <si>
    <t>06/07/2024 (ou 7 ou 8)</t>
  </si>
  <si>
    <t>auftrittebert@aol.com</t>
  </si>
  <si>
    <t>Lisa &amp; Benoit Ney</t>
  </si>
  <si>
    <t>3 Groussgaass</t>
  </si>
  <si>
    <t>L-9140</t>
  </si>
  <si>
    <t>Bourscheid</t>
  </si>
  <si>
    <t>ben_ney@hotmail.com ; handwerk.lisa@outlook.com</t>
  </si>
  <si>
    <t>Handwerk</t>
  </si>
  <si>
    <t>Kesenheimer</t>
  </si>
  <si>
    <t>Frank+Michaela</t>
  </si>
  <si>
    <t>Joseph Haydan Strasse 10</t>
  </si>
  <si>
    <t>D-79664</t>
  </si>
  <si>
    <t>00,49,173,305,42,53</t>
  </si>
  <si>
    <t>michaela.staehlin@t-online.de</t>
  </si>
  <si>
    <t>Wehr</t>
  </si>
  <si>
    <t>3p (bébé)+ 2 chiens</t>
  </si>
  <si>
    <t>622,5 le 10/04/24</t>
  </si>
  <si>
    <t>Saur</t>
  </si>
  <si>
    <t>SFR</t>
  </si>
  <si>
    <t>Bailly</t>
  </si>
  <si>
    <t>ABRITEL</t>
  </si>
  <si>
    <t>06 35 13 90 97</t>
  </si>
  <si>
    <t xml:space="preserve">oui </t>
  </si>
  <si>
    <t>622,5 le 11/04/2024</t>
  </si>
  <si>
    <t>2p+2chiens 1290*2</t>
  </si>
  <si>
    <t>870 le 24/04</t>
  </si>
  <si>
    <t>th.goth@goth-online.de</t>
  </si>
  <si>
    <t>Goth</t>
  </si>
  <si>
    <t>3p + 1 chien 1690+1990 / ont acheté une maison</t>
  </si>
  <si>
    <t>2p+2chiens (3000 cash)</t>
  </si>
  <si>
    <t>4p + 2 chien (boxer et cane corso)- 88 ans maman (Caution)</t>
  </si>
  <si>
    <t>Rachel</t>
  </si>
  <si>
    <t>Chemin de Berque</t>
  </si>
  <si>
    <t>Fr 54560</t>
  </si>
  <si>
    <t>Serrouville</t>
  </si>
  <si>
    <t>06,82,25,78,58</t>
  </si>
  <si>
    <t>rachelparis99@yahoo.fr</t>
  </si>
  <si>
    <t>google</t>
  </si>
  <si>
    <t>Lorenz-Allmendinger</t>
  </si>
  <si>
    <t>Christiane und Thomas</t>
  </si>
  <si>
    <t>Lettenweg 1a</t>
  </si>
  <si>
    <t>D-79539</t>
  </si>
  <si>
    <t>Lörrach</t>
  </si>
  <si>
    <t>00,49,171,2868804</t>
  </si>
  <si>
    <t>hensim.bitho@t-online.de</t>
  </si>
  <si>
    <t>Tel</t>
  </si>
  <si>
    <t>770 le 14/05/24</t>
  </si>
  <si>
    <t>Année 2025</t>
  </si>
  <si>
    <t>CA - 2025</t>
  </si>
  <si>
    <t>00,49,151,10049551</t>
  </si>
  <si>
    <t>joegiesi@hotmail.com</t>
  </si>
  <si>
    <t>Nicole  Jochen</t>
  </si>
  <si>
    <t>retour 2022, 2021</t>
  </si>
  <si>
    <t>Roscoff</t>
  </si>
  <si>
    <t>00,49,15566274801</t>
  </si>
  <si>
    <t>695 le 21/05/2024</t>
  </si>
  <si>
    <t>1008 le 21/05</t>
  </si>
  <si>
    <t>Gabor</t>
  </si>
  <si>
    <t>Maik &amp; Sabrina</t>
  </si>
  <si>
    <t xml:space="preserve">St Nicolas Str. 4 </t>
  </si>
  <si>
    <t>D-55442</t>
  </si>
  <si>
    <t>Roth</t>
  </si>
  <si>
    <t>00,49,176,61525600</t>
  </si>
  <si>
    <t>schaefer_sabrina@gmx.de</t>
  </si>
  <si>
    <t>Charges 2025</t>
  </si>
  <si>
    <t>322,5 le 28 mai 2024</t>
  </si>
  <si>
    <t>janine.m2@gmx.de</t>
  </si>
  <si>
    <t>2p+3chiens -rendre 300</t>
  </si>
  <si>
    <t>retour 2024</t>
  </si>
  <si>
    <t>3p+2 chiens 2LITS DOUBLES</t>
  </si>
  <si>
    <t>2580 - 2p+1 chien</t>
  </si>
  <si>
    <t>Erwin et Claudia</t>
  </si>
  <si>
    <t>Rabya Al Baba</t>
  </si>
  <si>
    <t>1500 le 19/06</t>
  </si>
  <si>
    <t>995 le 19/06/2024</t>
  </si>
  <si>
    <t>Andrea &amp; Jorg</t>
  </si>
  <si>
    <t>2p+2chiens PAS VENUS</t>
  </si>
  <si>
    <t>0049.17154-40533/00,49,175,600,3520</t>
  </si>
  <si>
    <t>Thomas &amp; Elke</t>
  </si>
  <si>
    <t>00,352,621,247417</t>
  </si>
  <si>
    <r>
      <t>4p 15+17) + 2 chiens</t>
    </r>
    <r>
      <rPr>
        <b/>
        <sz val="8"/>
        <rFont val="Arial"/>
        <family val="2"/>
      </rPr>
      <t xml:space="preserve"> 3 lits</t>
    </r>
  </si>
  <si>
    <t>el-baba@beauty-group-agentur.de</t>
  </si>
  <si>
    <t>2780 - 2p + 3 chiens 1121 rembourses</t>
  </si>
  <si>
    <t>2p+1 chien / Electric car / other house</t>
  </si>
  <si>
    <t>00,352,691997813</t>
  </si>
  <si>
    <t>4p + 1chien - 3847 cash</t>
  </si>
  <si>
    <t>4p + 2 chiens 3 CHAMBRES - 3889 or 3819</t>
  </si>
  <si>
    <t>Wacker</t>
  </si>
  <si>
    <t>Auf der Hofhen Amel 7</t>
  </si>
  <si>
    <t>D-55496</t>
  </si>
  <si>
    <t>Argenthal</t>
  </si>
  <si>
    <t>00,49,172,6699244</t>
  </si>
  <si>
    <t>frank.wacker@gmx.de</t>
  </si>
  <si>
    <t>ALERTE !!!</t>
  </si>
  <si>
    <t>Zwickmöhlen 2</t>
  </si>
  <si>
    <t>D-22844</t>
  </si>
  <si>
    <t>Norderstedt</t>
  </si>
  <si>
    <t>00,49,1772778078</t>
  </si>
  <si>
    <t>497,5 le 16/07/2024</t>
  </si>
  <si>
    <t>Guido</t>
  </si>
  <si>
    <t>Kleinschmidt</t>
  </si>
  <si>
    <t>Am Domacker 25</t>
  </si>
  <si>
    <t>00,49,172,8259176</t>
  </si>
  <si>
    <t>kleinschmidt@kle-ger.com</t>
  </si>
  <si>
    <t xml:space="preserve">Knäble </t>
  </si>
  <si>
    <r>
      <t xml:space="preserve">4p ( 11-9)+1 golden </t>
    </r>
    <r>
      <rPr>
        <b/>
        <sz val="8"/>
        <color theme="1"/>
        <rFont val="Arial"/>
        <family val="2"/>
      </rPr>
      <t>3 chambres</t>
    </r>
  </si>
  <si>
    <t>5p (12-12-10) : 4 lits</t>
  </si>
  <si>
    <t>Knoeble</t>
  </si>
  <si>
    <t xml:space="preserve">D-68219 </t>
  </si>
  <si>
    <t>Hardenburgstr. 13</t>
  </si>
  <si>
    <t>00,49,176,57860979</t>
  </si>
  <si>
    <t>retour Cleder 2023</t>
  </si>
  <si>
    <t>645 le 23/07</t>
  </si>
  <si>
    <t>5 pax - 6 lits</t>
  </si>
  <si>
    <t>445 le 26/07</t>
  </si>
  <si>
    <t>Rinderer</t>
  </si>
  <si>
    <t>Anna Maria</t>
  </si>
  <si>
    <t>Goststrasse 26</t>
  </si>
  <si>
    <t>A-6844</t>
  </si>
  <si>
    <t>Altach</t>
  </si>
  <si>
    <t>00,43,664,750,38,415</t>
  </si>
  <si>
    <t>rinderer.anna@gmx.at</t>
  </si>
  <si>
    <t>Hartmann</t>
  </si>
  <si>
    <t>D-54497</t>
  </si>
  <si>
    <t>Houath</t>
  </si>
  <si>
    <t>00,49,17641662122</t>
  </si>
  <si>
    <t>eva.hartmann-seuferlein@web.de</t>
  </si>
  <si>
    <t>745 le 07/08/2024</t>
  </si>
  <si>
    <t>Braunholzstraße 31a</t>
  </si>
  <si>
    <t>Rheda-Wiedenbrück</t>
  </si>
  <si>
    <t xml:space="preserve">D- 33378 </t>
  </si>
  <si>
    <t>chr.tiersch@gmail.com</t>
  </si>
  <si>
    <t>Tiersch</t>
  </si>
  <si>
    <t>00,49,1608860119</t>
  </si>
  <si>
    <t>920 le 25/08/2024</t>
  </si>
  <si>
    <t>c.hueltenschmidt@yahoo.de</t>
  </si>
  <si>
    <t>3480 -4p+1chien (3chambres)</t>
  </si>
  <si>
    <t>1990 - 2p + 2 chiens (300 caution à rembourser)</t>
  </si>
  <si>
    <t>2p+1chien : 2 lits doubles</t>
  </si>
  <si>
    <t>4p+3chiens - 2 chambres doubles</t>
  </si>
  <si>
    <t>1290*2 -2p+1 chien</t>
  </si>
  <si>
    <t>Stripe : clé : pk_live_51PqGfMCkHXIquSROMfMbNNWSJQ2DHgSFZhiKQYpsTjcpDmtSOOCcbF2o8aRO6RyRkh06YODVazdoGWLtjvuaJF5K00AWC6VVAk</t>
  </si>
  <si>
    <t>2p + 1chien - départ le 29 - rendre 300 caution !</t>
  </si>
  <si>
    <t>D-86482</t>
  </si>
  <si>
    <t>Aysteiten</t>
  </si>
  <si>
    <t>Josef-Mörtl-Str-1</t>
  </si>
  <si>
    <t>retour après 2024</t>
  </si>
  <si>
    <t>1780-2p + 1 chien</t>
  </si>
  <si>
    <t>Wöhr</t>
  </si>
  <si>
    <t>Martin und Angela</t>
  </si>
  <si>
    <t>Vogelsangstrasse 25</t>
  </si>
  <si>
    <t>D-74336</t>
  </si>
  <si>
    <t>Brackenheim</t>
  </si>
  <si>
    <t>00,49,171,7069673</t>
  </si>
  <si>
    <t>mareike.kiederer@mwoehr-cnc.de</t>
  </si>
  <si>
    <t>Beinlich</t>
  </si>
  <si>
    <t>Pregeistrasse</t>
  </si>
  <si>
    <t>D-45739</t>
  </si>
  <si>
    <t>Oer-Erkenschwick</t>
  </si>
  <si>
    <t>00,49,173,9014347</t>
  </si>
  <si>
    <t>00,49,2368693690</t>
  </si>
  <si>
    <t>mbeinlich@gmx.de</t>
  </si>
  <si>
    <t>retour de Cleder*2</t>
  </si>
  <si>
    <t xml:space="preserve"> 2p + 1 chien</t>
  </si>
  <si>
    <t>katja.ince@gmx.de</t>
  </si>
  <si>
    <t>Jean Francois</t>
  </si>
  <si>
    <t>Bordeaux</t>
  </si>
  <si>
    <t>06,63,40,21,36</t>
  </si>
  <si>
    <t>Gonzalez</t>
  </si>
  <si>
    <t>veut arriver le dimanche</t>
  </si>
  <si>
    <t>Mullenax</t>
  </si>
  <si>
    <t>Traubweg 3</t>
  </si>
  <si>
    <t>D-96120</t>
  </si>
  <si>
    <t>Bischberg</t>
  </si>
  <si>
    <t>00,49,174,97,47,046</t>
  </si>
  <si>
    <t>ritschiemullenax@aol.com</t>
  </si>
  <si>
    <t>1266 le 13/08/24 retour 2024</t>
  </si>
  <si>
    <t>hundeurlaub retour</t>
  </si>
  <si>
    <t>jfg33127@gmail.com</t>
  </si>
  <si>
    <t>350 le 22/09/2024</t>
  </si>
  <si>
    <t>acompte le 23/09/2024</t>
  </si>
  <si>
    <t>1245 le 16/29/2024</t>
  </si>
  <si>
    <t>575 le 13/09/24</t>
  </si>
  <si>
    <t xml:space="preserve">967,5 le 23/09/24 </t>
  </si>
  <si>
    <t>Gerbig-Gross</t>
  </si>
  <si>
    <t>Andresweg 6</t>
  </si>
  <si>
    <t>D-64291</t>
  </si>
  <si>
    <t>Darmstadt</t>
  </si>
  <si>
    <t>00,49,171,9209518</t>
  </si>
  <si>
    <t>martina.gerbig@gmx.de</t>
  </si>
  <si>
    <t>4p ( enfants 17, 14 , 11)</t>
  </si>
  <si>
    <t xml:space="preserve">Efuard-Mörike-Platz 3, </t>
  </si>
  <si>
    <t>D-52249</t>
  </si>
  <si>
    <t xml:space="preserve"> Eschweiler </t>
  </si>
  <si>
    <t>00,49,15116839918</t>
  </si>
  <si>
    <t>resa le 29/09/24</t>
  </si>
  <si>
    <t>Retour xxl</t>
  </si>
  <si>
    <t>alexandra.roth@gmx.ch</t>
  </si>
  <si>
    <t>1p +4 chiens</t>
  </si>
  <si>
    <t>00 41 79 328 21 13</t>
  </si>
  <si>
    <t>Riedholzstrasse 3</t>
  </si>
  <si>
    <t>Hubersdorf </t>
  </si>
  <si>
    <t>CH-4535</t>
  </si>
  <si>
    <t>795 le 01/10/2024</t>
  </si>
  <si>
    <t>820 le 01/10/2024</t>
  </si>
  <si>
    <t>1250 le 01/10/2024</t>
  </si>
  <si>
    <t>Bgm Wingerter strasse 10a</t>
  </si>
  <si>
    <t>D-67245</t>
  </si>
  <si>
    <t>Lambsteim</t>
  </si>
  <si>
    <t>00,49,152,098,90346</t>
  </si>
  <si>
    <t>mail@astridbrecht.de</t>
  </si>
  <si>
    <t>hunderurlaub</t>
  </si>
  <si>
    <t>670 le 08/10/2024 ?</t>
  </si>
  <si>
    <t>620 on 08/10/2024</t>
  </si>
  <si>
    <t>ravis - veulent revenir</t>
  </si>
  <si>
    <t>1245le 08/2024</t>
  </si>
  <si>
    <t>virement 1290 le 14/10</t>
  </si>
  <si>
    <t>Riemer</t>
  </si>
  <si>
    <t>Dietmar &amp; Verena</t>
  </si>
  <si>
    <t>An Tannehof 58</t>
  </si>
  <si>
    <t>D-19061</t>
  </si>
  <si>
    <t>Schwerin</t>
  </si>
  <si>
    <t>00,49,171,5858763</t>
  </si>
  <si>
    <t>vriemer@t-online.de</t>
  </si>
  <si>
    <t>3p + 2 chiens - Draps + Serviettes</t>
  </si>
  <si>
    <t>2024 - Roscoff</t>
  </si>
  <si>
    <t>2025 - Roscoff</t>
  </si>
  <si>
    <t>Stock</t>
  </si>
  <si>
    <t>hannelore.stock@t-online.de</t>
  </si>
  <si>
    <t>Am Feld 34</t>
  </si>
  <si>
    <t>D-66919</t>
  </si>
  <si>
    <t>Hersdiberg</t>
  </si>
  <si>
    <t>00,49,171,7809285</t>
  </si>
  <si>
    <t>645 le 31/10/2024</t>
  </si>
  <si>
    <t>Nicole und Dick</t>
  </si>
  <si>
    <t>In den Rothwiesen 2</t>
  </si>
  <si>
    <t>D-66459</t>
  </si>
  <si>
    <t>Kirkel</t>
  </si>
  <si>
    <t>00,49,163,2705951</t>
  </si>
  <si>
    <t>nicole.walter@tierarzt-kirkel.de</t>
  </si>
  <si>
    <t>795 le 05/11/2024</t>
  </si>
  <si>
    <t>1900 le 05/11/2024</t>
  </si>
  <si>
    <t>EDF</t>
  </si>
  <si>
    <t>2p+1chien (tous les lits)</t>
  </si>
  <si>
    <t>Dr Tanja</t>
  </si>
  <si>
    <t>Wollschlaeger</t>
  </si>
  <si>
    <t>Dr. Tanja Wollschläger &lt;Dr.T.Wollschlaeger@gmx.de&gt;</t>
  </si>
  <si>
    <t>2p+1chien (1 adulte 1 enfant)</t>
  </si>
  <si>
    <t>Ute Sturm &lt;utesturm1@yahoo.se&gt;</t>
  </si>
  <si>
    <t>Sturm</t>
  </si>
  <si>
    <t>Norwegen</t>
  </si>
  <si>
    <t xml:space="preserve">Rivvangen 44, </t>
  </si>
  <si>
    <t>Tylldalen</t>
  </si>
  <si>
    <t>+47 415 89 180</t>
  </si>
  <si>
    <t>995 le 12/11/2024</t>
  </si>
  <si>
    <t>548 le 15/11/2024</t>
  </si>
  <si>
    <t>35 rue des pres</t>
  </si>
  <si>
    <t>2-4p+2 chiens</t>
  </si>
  <si>
    <t>330 le 17/11/2025</t>
  </si>
  <si>
    <t>Westphal</t>
  </si>
  <si>
    <t>Dennis</t>
  </si>
  <si>
    <t>Leffersweg 8d</t>
  </si>
  <si>
    <t>D-26135</t>
  </si>
  <si>
    <t>Oldenburg</t>
  </si>
  <si>
    <t>00,49,1777435112</t>
  </si>
  <si>
    <t>Milark</t>
  </si>
  <si>
    <t>Anika</t>
  </si>
  <si>
    <t>Martin Luther Strasse 18</t>
  </si>
  <si>
    <t>D-38470</t>
  </si>
  <si>
    <t>Parsau</t>
  </si>
  <si>
    <t>00,49,1525,8881851</t>
  </si>
  <si>
    <t>anika_milark@web.de</t>
  </si>
  <si>
    <t>5p - 8-7-5 ans</t>
  </si>
  <si>
    <t>Siren 843568023</t>
  </si>
  <si>
    <t>Indiv Xavier et Nathalie Cadiou</t>
  </si>
  <si>
    <t>Abonne : 20203320311818</t>
  </si>
  <si>
    <t>facture : 2429016852944</t>
  </si>
  <si>
    <t>Keradennec Cleder</t>
  </si>
  <si>
    <t>amoco123</t>
  </si>
  <si>
    <t>Xavier Cadiou</t>
  </si>
  <si>
    <t>Abonné : 20200370112626</t>
  </si>
  <si>
    <t>Kristina</t>
  </si>
  <si>
    <t>Autsch</t>
  </si>
  <si>
    <t>Mühlenstr. 10</t>
  </si>
  <si>
    <t>D-29593</t>
  </si>
  <si>
    <t>Schwienau</t>
  </si>
  <si>
    <t>00,49,160,2309133</t>
  </si>
  <si>
    <t>kristina.autsch@gmx.de</t>
  </si>
  <si>
    <t>Blanc</t>
  </si>
  <si>
    <t>Lucy</t>
  </si>
  <si>
    <t>Sint Annalaan 155-1853</t>
  </si>
  <si>
    <t>Grimbergen</t>
  </si>
  <si>
    <t>Belgque</t>
  </si>
  <si>
    <t>00,32,478454507</t>
  </si>
  <si>
    <t>lucyblanc@gmail.com</t>
  </si>
  <si>
    <t>hundeurlaiub</t>
  </si>
  <si>
    <t>oui 20</t>
  </si>
  <si>
    <t>Strieder</t>
  </si>
  <si>
    <t xml:space="preserve">Rudolf Walter </t>
  </si>
  <si>
    <t>00,49,1713677398</t>
  </si>
  <si>
    <t>1245 le 10/12/24</t>
  </si>
  <si>
    <t>1792,5 le 02/12/2024</t>
  </si>
  <si>
    <t xml:space="preserve">duchenenicola@yahoo.fr </t>
  </si>
  <si>
    <t>Fröhlig</t>
  </si>
  <si>
    <t>Karolin</t>
  </si>
  <si>
    <t>00,49,170,2865914</t>
  </si>
  <si>
    <t>kfroehlig@web.de</t>
  </si>
  <si>
    <t>Mainzer Weg 2</t>
  </si>
  <si>
    <t>Leiderbach</t>
  </si>
  <si>
    <t>D-65835</t>
  </si>
  <si>
    <t>5 (3 enfant 14 et 16 et 19)</t>
  </si>
  <si>
    <t>1245 le 07/01/25</t>
  </si>
  <si>
    <t>retour 2021 et 2022 et 2023, 2024 et 2025</t>
  </si>
  <si>
    <t>Siebel</t>
  </si>
  <si>
    <t>Carmen und Michael</t>
  </si>
  <si>
    <t>Dünenweg 32</t>
  </si>
  <si>
    <t>Ddorf</t>
  </si>
  <si>
    <t>00,49,1722028366</t>
  </si>
  <si>
    <t>carmen_siebel@web.de</t>
  </si>
  <si>
    <t>Valente</t>
  </si>
  <si>
    <t>Nicole+Dennis</t>
  </si>
  <si>
    <t>Höhenweg 16</t>
  </si>
  <si>
    <t>00,41,79,642,87,28</t>
  </si>
  <si>
    <t>nicole.valente@bluewin.ch</t>
  </si>
  <si>
    <t>6p+3 chien (11-13)</t>
  </si>
  <si>
    <t>795 le 13/01/25</t>
  </si>
  <si>
    <t>2p - 2 chiens?  REtour *5</t>
  </si>
  <si>
    <t>taxe habitation 2024</t>
  </si>
  <si>
    <t>Assurance Prêt</t>
  </si>
  <si>
    <t>taxe foncière 2024</t>
  </si>
  <si>
    <t>Fonciere Pace</t>
  </si>
  <si>
    <t>381 le 15/01/2025</t>
  </si>
  <si>
    <t>622,5 le 15/01/2025</t>
  </si>
  <si>
    <t>Körber</t>
  </si>
  <si>
    <t>Ralph</t>
  </si>
  <si>
    <t>Hans-Darr-Strasse 18</t>
  </si>
  <si>
    <t>D-65527</t>
  </si>
  <si>
    <t>Niedernhausen</t>
  </si>
  <si>
    <t>allemangne</t>
  </si>
  <si>
    <t>00,49,162,1885515</t>
  </si>
  <si>
    <t>ralph.koerber@gmail.com</t>
  </si>
  <si>
    <t>2269 - 2p + 0 chien</t>
  </si>
  <si>
    <t>Abritel - annulation le 06/02</t>
  </si>
  <si>
    <t>Büchi</t>
  </si>
  <si>
    <t>Anita</t>
  </si>
  <si>
    <t>Heinrich Bosshard Strasse 10b</t>
  </si>
  <si>
    <t>Elsau</t>
  </si>
  <si>
    <t>00,41,79,831,26,97</t>
  </si>
  <si>
    <t>buechi@atzuerich.ch</t>
  </si>
  <si>
    <t>web</t>
  </si>
  <si>
    <t>Knops</t>
  </si>
  <si>
    <t>158 Rue Auguste Latour</t>
  </si>
  <si>
    <t>00,32,475,907449</t>
  </si>
  <si>
    <t>sk@codibel.be</t>
  </si>
  <si>
    <t>pub web</t>
  </si>
  <si>
    <t>Danzl</t>
  </si>
  <si>
    <t>Prakstrasse 37/41B</t>
  </si>
  <si>
    <t>Hinderlcöhl</t>
  </si>
  <si>
    <t>00,43,660,5506652</t>
  </si>
  <si>
    <t>Anna-Maria.Danzl@gmx.at</t>
  </si>
  <si>
    <t>Sosa Blanco</t>
  </si>
  <si>
    <t>oirfstrasse 24</t>
  </si>
  <si>
    <t>Mörel</t>
  </si>
  <si>
    <t>D-24594</t>
  </si>
  <si>
    <t>00,49,172,4871346</t>
  </si>
  <si>
    <t>slsb79@hotmail.com</t>
  </si>
  <si>
    <t>522,5 le 10/02</t>
  </si>
  <si>
    <t>2p ( peut être avec sa fille et conjoint)</t>
  </si>
  <si>
    <t>Delvaulx</t>
  </si>
  <si>
    <t>Chaussee de Tervueren 35</t>
  </si>
  <si>
    <t>Anderghem</t>
  </si>
  <si>
    <t>00,32,477687628</t>
  </si>
  <si>
    <t>1p+1chien</t>
  </si>
  <si>
    <t>545 le 10/02</t>
  </si>
  <si>
    <t>Vande Vonder</t>
  </si>
  <si>
    <t>Agnès</t>
  </si>
  <si>
    <t>Rue de la Case</t>
  </si>
  <si>
    <t>Carnière</t>
  </si>
  <si>
    <t>00,32,497 190651</t>
  </si>
  <si>
    <t>agnes.vandevonder@hotmail.com</t>
  </si>
  <si>
    <t>Revenu Brut journalier</t>
  </si>
  <si>
    <t>Revenu Brut hebdomadaire</t>
  </si>
  <si>
    <t>Frais variables :</t>
  </si>
  <si>
    <t>%Année N / N-1</t>
  </si>
  <si>
    <t>500 le 11/02</t>
  </si>
  <si>
    <t>delvaulxas@hotmail.com</t>
  </si>
  <si>
    <t>Tourscher</t>
  </si>
  <si>
    <t>19 allée du point du jour</t>
  </si>
  <si>
    <t>Luneville</t>
  </si>
  <si>
    <t>06,09,26,02,65</t>
  </si>
  <si>
    <t>06,34,30,61,17</t>
  </si>
  <si>
    <t>Zähnler</t>
  </si>
  <si>
    <t>Nuoiser strasse 6</t>
  </si>
  <si>
    <t>00,41,78,843,71,61</t>
  </si>
  <si>
    <t>2p+2 chien</t>
  </si>
  <si>
    <t>kzaehnler@bluewin.ch</t>
  </si>
  <si>
    <t>Sandra Lorena</t>
  </si>
  <si>
    <t>347,50 le 12/02/25</t>
  </si>
  <si>
    <t>350 le 12/02/25</t>
  </si>
  <si>
    <t>Schaefer</t>
  </si>
  <si>
    <t>Rathausstrasse 19</t>
  </si>
  <si>
    <t>D-63303</t>
  </si>
  <si>
    <t>00,49,1726555530</t>
  </si>
  <si>
    <t>inaschaefer@mailbox.org</t>
  </si>
  <si>
    <t>3 ou 6p + 1 chien</t>
  </si>
  <si>
    <t>3ou6</t>
  </si>
  <si>
    <t>400 le 15/02</t>
  </si>
  <si>
    <t>995 le 07/02</t>
  </si>
  <si>
    <t>Année 2026</t>
  </si>
  <si>
    <t>CA - 2026</t>
  </si>
  <si>
    <t>570 le 18/02/2025</t>
  </si>
  <si>
    <t>Ina + Mark Oliver</t>
  </si>
  <si>
    <t>1245 le 18/02/25</t>
  </si>
  <si>
    <t>c.tourscher54@gmail.com</t>
  </si>
  <si>
    <t>Spachmann</t>
  </si>
  <si>
    <t>Annette</t>
  </si>
  <si>
    <t>Schneeballstrasse 25</t>
  </si>
  <si>
    <t>D-65929</t>
  </si>
  <si>
    <t>00,49,173,783,8479</t>
  </si>
  <si>
    <t>a.spachmann@hotmail.de</t>
  </si>
  <si>
    <t>1 +1 chien</t>
  </si>
  <si>
    <t>795 le 18/02</t>
  </si>
  <si>
    <t>Heidenreich</t>
  </si>
  <si>
    <t>sheidenreich@gmx.net</t>
  </si>
  <si>
    <t>00,49,1514045898</t>
  </si>
  <si>
    <t>00,49,15140458981</t>
  </si>
  <si>
    <t>Liedhornstraße 9/5</t>
  </si>
  <si>
    <t>Weinstadt</t>
  </si>
  <si>
    <t>D-71384</t>
  </si>
  <si>
    <t>25/02 ?</t>
  </si>
  <si>
    <t>Assurance CA</t>
  </si>
  <si>
    <t>Assurance prêt AXA - (X+N)*2</t>
  </si>
  <si>
    <t>322,5 le 25/02</t>
  </si>
  <si>
    <t>Sandra + Oliver</t>
  </si>
  <si>
    <t>Erbacher</t>
  </si>
  <si>
    <t>Breganzer Str. 12</t>
  </si>
  <si>
    <t>D-90475</t>
  </si>
  <si>
    <t>00,49,170,3646465</t>
  </si>
  <si>
    <t>2p ou 4p + 2 chiens</t>
  </si>
  <si>
    <t>sandra.erbacher@t-online.de</t>
  </si>
  <si>
    <t>Nürnberg</t>
  </si>
  <si>
    <t>TOTAL 2025</t>
  </si>
  <si>
    <t>2ou4</t>
  </si>
  <si>
    <t>397,5 le 27/02 avec autre maison</t>
  </si>
  <si>
    <t>695 le 27/02/25</t>
  </si>
  <si>
    <t>Gommel</t>
  </si>
  <si>
    <t>Berenice &amp; Gerald</t>
  </si>
  <si>
    <t>Hochdorfer str 3</t>
  </si>
  <si>
    <t>D-71735</t>
  </si>
  <si>
    <t>Eberdingen</t>
  </si>
  <si>
    <t>00,49,172,9595989</t>
  </si>
  <si>
    <t>berebel@gmx.de</t>
  </si>
  <si>
    <t>Zuflucht 11</t>
  </si>
  <si>
    <t>D-70569</t>
  </si>
  <si>
    <t>00,49,176,81,663,882</t>
  </si>
  <si>
    <t>claudia.wiesinger88@googlemail.com</t>
  </si>
  <si>
    <t>Wiesinger</t>
  </si>
  <si>
    <t>Campos</t>
  </si>
  <si>
    <t>Frederico &amp; Melanie</t>
  </si>
  <si>
    <t>Ginsterweg 5</t>
  </si>
  <si>
    <t>D-49163</t>
  </si>
  <si>
    <t>Bohmte</t>
  </si>
  <si>
    <t>00,49,170,3663042</t>
  </si>
  <si>
    <t>info@cds-campos.de</t>
  </si>
  <si>
    <t>2p + 1 chien (2 chambres)</t>
  </si>
  <si>
    <t>347,5 le 06/03/2025</t>
  </si>
  <si>
    <t>2026 - Roscoff</t>
  </si>
  <si>
    <t>Böhnert</t>
  </si>
  <si>
    <t>Monika und Günther</t>
  </si>
  <si>
    <t>Goetbestrasse 1</t>
  </si>
  <si>
    <t>D-67480</t>
  </si>
  <si>
    <t>Edenkoben</t>
  </si>
  <si>
    <t>00,49,152,08657584</t>
  </si>
  <si>
    <t>monika_boehnert@web.de</t>
  </si>
  <si>
    <t>le 08/03/20025</t>
  </si>
  <si>
    <t>Danielle  + Yves</t>
  </si>
  <si>
    <t>19 Regina</t>
  </si>
  <si>
    <t>L 7653</t>
  </si>
  <si>
    <t>Heffingen</t>
  </si>
  <si>
    <t>00,352,691,18,12,10</t>
  </si>
  <si>
    <t>danyjunker@yahoo.de</t>
  </si>
  <si>
    <t>5p + 1 chien</t>
  </si>
  <si>
    <t>920 le 10/03/25</t>
  </si>
  <si>
    <t>795 le 11/03/2025</t>
  </si>
  <si>
    <t>Gruson</t>
  </si>
  <si>
    <t>Bruno et Pascale</t>
  </si>
  <si>
    <t>264 Rue Neuve</t>
  </si>
  <si>
    <t>Hinges</t>
  </si>
  <si>
    <t>06,82,79,32,75</t>
  </si>
  <si>
    <t>bgruson@orange.fr</t>
  </si>
  <si>
    <t>1170 le 12/03</t>
  </si>
  <si>
    <t>Kripeker-Junker</t>
  </si>
  <si>
    <t>622 le 28/03</t>
  </si>
  <si>
    <t>Bianca</t>
  </si>
  <si>
    <t>Holscher</t>
  </si>
  <si>
    <t>412,5 € le 02/04/2025</t>
  </si>
  <si>
    <t>Lange Strasse 19</t>
  </si>
  <si>
    <t>D-44137</t>
  </si>
  <si>
    <t>Dortmanund</t>
  </si>
  <si>
    <t>allemagne</t>
  </si>
  <si>
    <t>00,49,174,910,9922</t>
  </si>
  <si>
    <t>b.hoelscher@ish.de</t>
  </si>
  <si>
    <t>5p+2 chiens</t>
  </si>
  <si>
    <t>Melanie &amp; Nils</t>
  </si>
  <si>
    <t>Marwede</t>
  </si>
  <si>
    <t>Schützenstrasse 15</t>
  </si>
  <si>
    <t>D-2955</t>
  </si>
  <si>
    <t>Uelzen</t>
  </si>
  <si>
    <t>00,49,176,55026687</t>
  </si>
  <si>
    <t>melli.marwede@gmail.com</t>
  </si>
  <si>
    <t>Ravallement</t>
  </si>
  <si>
    <t>Peintre haut</t>
  </si>
  <si>
    <t>Nettoyage enduits</t>
  </si>
  <si>
    <t>Karin + René</t>
  </si>
  <si>
    <t>Hockamp</t>
  </si>
  <si>
    <t>00,49,171,8742906</t>
  </si>
  <si>
    <t>hockamp@eyenovation.de</t>
  </si>
  <si>
    <t>Rastiello</t>
  </si>
  <si>
    <t>00,49,151,26957149</t>
  </si>
  <si>
    <t>sascha.rastiello@gmail.com</t>
  </si>
  <si>
    <t>645 le 9 /04/25</t>
  </si>
  <si>
    <t>super sympa</t>
  </si>
  <si>
    <t>1095 le 23/04/2025</t>
  </si>
  <si>
    <t>Huck-Eisenkrein</t>
  </si>
  <si>
    <t>Levinia</t>
  </si>
  <si>
    <t>obachstr.61</t>
  </si>
  <si>
    <t>D-74321</t>
  </si>
  <si>
    <t>Bietigheim-Bissingen</t>
  </si>
  <si>
    <t>00,49,162,2005853</t>
  </si>
  <si>
    <t>Charges 2026</t>
  </si>
  <si>
    <t>Hug</t>
  </si>
  <si>
    <t>Erna</t>
  </si>
  <si>
    <t>Eggbrunnenweg 39</t>
  </si>
  <si>
    <t>CH-8332</t>
  </si>
  <si>
    <t>Russikon</t>
  </si>
  <si>
    <t>00,41,775233901</t>
  </si>
  <si>
    <t>timoh@bluewin.ch</t>
  </si>
  <si>
    <t xml:space="preserve"> 2490*2 Annulation - 2p + 1 chien</t>
  </si>
  <si>
    <t>1245 le 02/05/2025</t>
  </si>
  <si>
    <t xml:space="preserve">Levi.huck@gmx.de </t>
  </si>
  <si>
    <t>275 le 05/05/2025</t>
  </si>
  <si>
    <t>4 adultes (roumains ?)</t>
  </si>
  <si>
    <r>
      <t>2p +1 chien (gratuit)</t>
    </r>
    <r>
      <rPr>
        <sz val="8"/>
        <color rgb="FFFFFF00"/>
        <rFont val="Arial"/>
        <family val="2"/>
      </rPr>
      <t xml:space="preserve"> Prévoir Serviettes </t>
    </r>
    <r>
      <rPr>
        <sz val="8"/>
        <rFont val="Arial"/>
        <family val="2"/>
      </rPr>
      <t xml:space="preserve">- </t>
    </r>
    <r>
      <rPr>
        <sz val="8"/>
        <color rgb="FFFFFF00"/>
        <rFont val="Arial"/>
        <family val="2"/>
      </rPr>
      <t>2455/2 cash</t>
    </r>
  </si>
  <si>
    <t>Rita + Help Sylvia &amp; Thomas Hilf</t>
  </si>
  <si>
    <t>leporello@vodafone.de</t>
  </si>
  <si>
    <r>
      <t xml:space="preserve">2p+1chien </t>
    </r>
    <r>
      <rPr>
        <sz val="8"/>
        <color theme="9" tint="-0.249977111117893"/>
        <rFont val="Arial"/>
        <family val="2"/>
      </rPr>
      <t>2 LITS</t>
    </r>
  </si>
  <si>
    <t>2p+2chiens - 2 LITS</t>
  </si>
  <si>
    <t>Gribitsch</t>
  </si>
  <si>
    <t xml:space="preserve">Peter </t>
  </si>
  <si>
    <t>00,49,162,2911415</t>
  </si>
  <si>
    <t>retour 2005 Cleder</t>
  </si>
  <si>
    <t>Nicole &amp; Jochen</t>
  </si>
  <si>
    <t>retour 2025</t>
  </si>
  <si>
    <t>347,5 le 20/05/2025</t>
  </si>
  <si>
    <t>745 le 20/05/2025</t>
  </si>
  <si>
    <t>Hunsrûck Strasse 52</t>
  </si>
  <si>
    <t>4p - 2 chiens - 2 LITS</t>
  </si>
  <si>
    <t>transfert à l'avance (27/05)</t>
  </si>
  <si>
    <t>Agnès + Duez Jimmy</t>
  </si>
  <si>
    <t xml:space="preserve">agnes.vandevonder@hotmail.com ;jim.duez@gmail.com; </t>
  </si>
  <si>
    <t>lorenzvolker@outlook.fr</t>
  </si>
  <si>
    <t xml:space="preserve"> Lorenz</t>
  </si>
  <si>
    <t>00,49,771574388</t>
  </si>
  <si>
    <t>545 le 11/06/2025</t>
  </si>
  <si>
    <t>Farrag</t>
  </si>
  <si>
    <t>Ranja</t>
  </si>
  <si>
    <t>Siebenkeesstra 13</t>
  </si>
  <si>
    <t>D-93049</t>
  </si>
  <si>
    <t>Regensburg</t>
  </si>
  <si>
    <t>00,49,1794815697</t>
  </si>
  <si>
    <t>ranja@farrag.net</t>
  </si>
  <si>
    <t>400 le 25/06/25</t>
  </si>
  <si>
    <t>2p+1chien : 1 lit double</t>
  </si>
  <si>
    <t>2p+2chien - 2 Lits</t>
  </si>
  <si>
    <t>5p (19-16-14) + 1chien - 4 lits</t>
  </si>
  <si>
    <t>Pia</t>
  </si>
  <si>
    <t>Buchholz</t>
  </si>
  <si>
    <t>Weissenportz 20c</t>
  </si>
  <si>
    <t>D-53804</t>
  </si>
  <si>
    <t>Much</t>
  </si>
  <si>
    <t>00,49,17623770176</t>
  </si>
  <si>
    <t>piabuchholz@googlemail.com</t>
  </si>
  <si>
    <t>3180 - 2p+2chiens</t>
  </si>
  <si>
    <t>Klein</t>
  </si>
  <si>
    <t>Holzer platz 7</t>
  </si>
  <si>
    <t>D-66265</t>
  </si>
  <si>
    <t>Hzusweiler</t>
  </si>
  <si>
    <t>00,49,159,01808883</t>
  </si>
  <si>
    <t>MKLEINM@t-online.de</t>
  </si>
  <si>
    <t>3p+4chiens</t>
  </si>
  <si>
    <t>400 le 03/07/2025</t>
  </si>
  <si>
    <t>Ziegler</t>
  </si>
  <si>
    <t>Janet</t>
  </si>
  <si>
    <t>Diemshoff, 100</t>
  </si>
  <si>
    <t>D-48282</t>
  </si>
  <si>
    <t>Emsdetten</t>
  </si>
  <si>
    <t>00,49,176,31413563</t>
  </si>
  <si>
    <t>j.ziegler485@gmail.com</t>
  </si>
  <si>
    <t>virement retour fait le 06/07/2025</t>
  </si>
  <si>
    <t>3p + 1 chien - draps serviettes - menage inclus, chien aussi</t>
  </si>
  <si>
    <r>
      <t>4p 15+17) + 2 chiens</t>
    </r>
    <r>
      <rPr>
        <b/>
        <sz val="8"/>
        <rFont val="Arial"/>
        <family val="2"/>
      </rPr>
      <t xml:space="preserve"> 3 lits</t>
    </r>
    <r>
      <rPr>
        <sz val="8"/>
        <rFont val="Arial"/>
        <family val="2"/>
      </rPr>
      <t xml:space="preserve"> (2 double et un simple)</t>
    </r>
  </si>
  <si>
    <t>2p+2chiens - draps + serviettes (FONT MENAGE - 1 LIT)</t>
  </si>
  <si>
    <t>CA/S Cleder</t>
  </si>
  <si>
    <t>CA/S Plouescat</t>
  </si>
  <si>
    <t>CA/S Roscoff</t>
  </si>
  <si>
    <t>2p+1chien + serviettes</t>
  </si>
  <si>
    <t>denniswestphal73@gmail.com</t>
  </si>
  <si>
    <t>Bernardon</t>
  </si>
  <si>
    <t xml:space="preserve">Suisse </t>
  </si>
  <si>
    <t>Scheideggstrasse 58</t>
  </si>
  <si>
    <t>CH-8002</t>
  </si>
  <si>
    <t>00,41,76,4477242</t>
  </si>
  <si>
    <t>cebernardon@gmail.com</t>
  </si>
  <si>
    <t>4 p (15 et 17 ans)</t>
  </si>
  <si>
    <t>Widmer</t>
  </si>
  <si>
    <t>Daniel + Charlotte</t>
  </si>
  <si>
    <t>Grunholz 16,1</t>
  </si>
  <si>
    <t>CH-4934</t>
  </si>
  <si>
    <t>Madiswil</t>
  </si>
  <si>
    <t>00,41,793353380</t>
  </si>
  <si>
    <t>dwi@bluewin.ch</t>
  </si>
  <si>
    <t>Ullrich</t>
  </si>
  <si>
    <t xml:space="preserve">Lettener Weg 5 </t>
  </si>
  <si>
    <t>D-91077</t>
  </si>
  <si>
    <t>00,49,176,64104473</t>
  </si>
  <si>
    <t>Neunkirchen a. Br.</t>
  </si>
  <si>
    <t>pinarello20144@yahoo.de</t>
  </si>
  <si>
    <t>2 à 5 p</t>
  </si>
  <si>
    <t>Nicolette</t>
  </si>
  <si>
    <t>00,49,151,567,12284</t>
  </si>
  <si>
    <t>nicolettekressl@gmx.de</t>
  </si>
  <si>
    <t>342,5 le 21/07/25</t>
  </si>
  <si>
    <t>Hambücher</t>
  </si>
  <si>
    <t>Frank &amp; Tanja</t>
  </si>
  <si>
    <t>00,49,178,3417364</t>
  </si>
  <si>
    <t>hambuechen.tanja@web.de</t>
  </si>
  <si>
    <t>2p + 2 chiens grands) - serviettes- chiens inclus</t>
  </si>
  <si>
    <t>945 le 22/07/2025</t>
  </si>
  <si>
    <t>Jane + Louise Mengin</t>
  </si>
  <si>
    <t>397,5 le 23/07/25</t>
  </si>
  <si>
    <t>837 le 25/07</t>
  </si>
  <si>
    <t>Tenter</t>
  </si>
  <si>
    <t>Ines</t>
  </si>
  <si>
    <t>Kempkensfeld 5</t>
  </si>
  <si>
    <t>ines.tenter@hotmail.de</t>
  </si>
  <si>
    <t>Uwe</t>
  </si>
  <si>
    <t>Dold</t>
  </si>
  <si>
    <t>Maximilian Kolbe Weg 4</t>
  </si>
  <si>
    <t>D-79100</t>
  </si>
  <si>
    <t>Freiburg</t>
  </si>
  <si>
    <t>00,49,151,28801230</t>
  </si>
  <si>
    <t>297,5 le 30/07/2025</t>
  </si>
  <si>
    <t>juliane.dold@gmx.de</t>
  </si>
  <si>
    <t>1395 le 21/07</t>
  </si>
  <si>
    <t>347,5 le 05/08/2025</t>
  </si>
  <si>
    <t>Michel &amp; Susan</t>
  </si>
  <si>
    <t>500 le 08/08/2025</t>
  </si>
  <si>
    <t>4 adultes 2 lits douvles</t>
  </si>
  <si>
    <t>Merkelbach</t>
  </si>
  <si>
    <t>Nina und Heines</t>
  </si>
  <si>
    <t>Römerstr.22</t>
  </si>
  <si>
    <t>Wehrheim</t>
  </si>
  <si>
    <t>D-61273</t>
  </si>
  <si>
    <t>00,49,151,424,90465</t>
  </si>
  <si>
    <t>merkelbach.heiner@web.de</t>
  </si>
  <si>
    <t>oui - 50%</t>
  </si>
  <si>
    <t>Jaspar-Robert</t>
  </si>
  <si>
    <t>Cedric</t>
  </si>
  <si>
    <t>Rue du cristal 31</t>
  </si>
  <si>
    <t>Seraing</t>
  </si>
  <si>
    <t>00,32,478,355822</t>
  </si>
  <si>
    <t>jaspar.cedric@hotmail.com</t>
  </si>
  <si>
    <t>retour 22 et 24</t>
  </si>
  <si>
    <t>390 le 13/08/2025</t>
  </si>
  <si>
    <t>Sandra &amp; Olaf</t>
  </si>
  <si>
    <t>610 le 18/08/2025</t>
  </si>
  <si>
    <t>pas encore recu</t>
  </si>
  <si>
    <t>Buchi</t>
  </si>
  <si>
    <t>Regula</t>
  </si>
  <si>
    <t>Brendahl</t>
  </si>
  <si>
    <t>stefan</t>
  </si>
  <si>
    <t>Pützchens chaussee 221</t>
  </si>
  <si>
    <t>D-53229</t>
  </si>
  <si>
    <t>Bonn</t>
  </si>
  <si>
    <t>00,49,1744766000</t>
  </si>
  <si>
    <t>bnstefanb@gmx.de</t>
  </si>
  <si>
    <t>Schütte</t>
  </si>
  <si>
    <t>Fabian</t>
  </si>
  <si>
    <t>Schmachtenbergweg 6</t>
  </si>
  <si>
    <t>D-42489</t>
  </si>
  <si>
    <t>Wülfrath</t>
  </si>
  <si>
    <t>00,49,1722692943</t>
  </si>
  <si>
    <t>tina.schuette@t-online.de</t>
  </si>
  <si>
    <t>Gilly</t>
  </si>
  <si>
    <t>Aurelie-Anne</t>
  </si>
  <si>
    <t>55 Avenue d'Orbaix</t>
  </si>
  <si>
    <t>Bruxelles</t>
  </si>
  <si>
    <t>00,32,996223124</t>
  </si>
  <si>
    <t>aagilly@gmail.com</t>
  </si>
  <si>
    <t>2p+2-3chiens ( 2 chambre - vieille dame - snt françaises</t>
  </si>
  <si>
    <t>770 le 29/08/2026</t>
  </si>
  <si>
    <t>1395 le 25/08/25</t>
  </si>
  <si>
    <t>1395 le 28/08/2026</t>
  </si>
  <si>
    <t>Hackenbergweg 4</t>
  </si>
  <si>
    <t>CH-8307</t>
  </si>
  <si>
    <t>Effretikon</t>
  </si>
  <si>
    <t>00,41,78,7631224</t>
  </si>
  <si>
    <t>buechi.regi@gmail.com</t>
  </si>
  <si>
    <t>1490 le 25/08/2025 (50%)</t>
  </si>
  <si>
    <t>4p (2 enfants) 17-9 + 2 chiens 2 double + 1 simple</t>
  </si>
  <si>
    <t>inge.reif@gmx.net</t>
  </si>
  <si>
    <t>Herrngasse 20</t>
  </si>
  <si>
    <t>00,49,1795232745</t>
  </si>
  <si>
    <t>Pouplier</t>
  </si>
  <si>
    <t>Anne Marielle</t>
  </si>
  <si>
    <t>Saint Didier au Mont d'Or</t>
  </si>
  <si>
    <t>06,82,38,88,04</t>
  </si>
  <si>
    <t>ampouplier@gmail.com</t>
  </si>
  <si>
    <t>272 le 17/09/2025</t>
  </si>
  <si>
    <t>taxe foncière 2025</t>
  </si>
  <si>
    <t>Pilger</t>
  </si>
  <si>
    <t>Ralf</t>
  </si>
  <si>
    <t>Schulhohlstrasse 10</t>
  </si>
  <si>
    <t>D-64711</t>
  </si>
  <si>
    <t>Erbach</t>
  </si>
  <si>
    <t>00,49,152,56190148</t>
  </si>
  <si>
    <t>ralfpilger@unitybox.de</t>
  </si>
  <si>
    <t>Tedesco</t>
  </si>
  <si>
    <t>Frank + Sabrina</t>
  </si>
  <si>
    <t>53 Chemin du Monterllier</t>
  </si>
  <si>
    <t>Gechingerstr. 15</t>
  </si>
  <si>
    <t>D-71134</t>
  </si>
  <si>
    <t>Aidlingen</t>
  </si>
  <si>
    <t>00,49,174,33,15935</t>
  </si>
  <si>
    <t>sabi88tedesco@gmail.com</t>
  </si>
  <si>
    <t>Busch</t>
  </si>
  <si>
    <t>Nicole + Andreas</t>
  </si>
  <si>
    <t>Sinstedenstrasse 15</t>
  </si>
  <si>
    <t>00,49,151,50456371</t>
  </si>
  <si>
    <t>andiunicki@t-online.de</t>
  </si>
  <si>
    <t>4p (2 enfants)+ 2 chiens</t>
  </si>
  <si>
    <t>CA - 2027</t>
  </si>
  <si>
    <t>2p ou 4p + 2 chiens 2 lits doubles</t>
  </si>
  <si>
    <t>545 le 25/09/25</t>
  </si>
  <si>
    <t>Cash:</t>
  </si>
  <si>
    <t xml:space="preserve">Cash: </t>
  </si>
  <si>
    <t>3p (1 enfant) 2 double beds</t>
  </si>
  <si>
    <t>3 + 2 chiens -ANNULE veille</t>
  </si>
  <si>
    <t>270 le 3 juin</t>
  </si>
  <si>
    <t>4p+3 chiens</t>
  </si>
  <si>
    <t>2p + 3 chiens - 2 lits</t>
  </si>
  <si>
    <t>800 le 30/09/2025</t>
  </si>
  <si>
    <t>1190€ - 3p+2chiens</t>
  </si>
  <si>
    <t>2p - 2 lits doubles</t>
  </si>
  <si>
    <t>3348 - 6p-4dogs-&gt;plouescat sept 2026</t>
  </si>
  <si>
    <t>retour 2022 Cleder</t>
  </si>
  <si>
    <t>6p-4dogs+1bebe</t>
  </si>
  <si>
    <t>Extertaler Ring 28</t>
  </si>
  <si>
    <t>D-06792</t>
  </si>
  <si>
    <t>Sanderdorf-Brehna</t>
  </si>
  <si>
    <t>00,49,178,8364139</t>
  </si>
  <si>
    <t>bianca.rocco@t-online.de</t>
  </si>
  <si>
    <t>Revenu Brut mensuel</t>
  </si>
  <si>
    <t xml:space="preserve">Free </t>
  </si>
  <si>
    <t>fbx23770000 - FRAmoco123! Hotline 23770000 - 5719</t>
  </si>
  <si>
    <t>fbx23769900 - Hotline : 23769900 - 2173</t>
  </si>
  <si>
    <t>Pace</t>
  </si>
  <si>
    <t>Solene</t>
  </si>
  <si>
    <t>Laurane</t>
  </si>
  <si>
    <t>Hotline</t>
  </si>
  <si>
    <t>Identifiant</t>
  </si>
  <si>
    <t xml:space="preserve">fbx23769900 </t>
  </si>
  <si>
    <t>23769900 - 2173</t>
  </si>
  <si>
    <t>Code</t>
  </si>
  <si>
    <t>FRAmoco123!</t>
  </si>
  <si>
    <t xml:space="preserve">fbx23770000 </t>
  </si>
  <si>
    <t>23770000 - 5719</t>
  </si>
  <si>
    <t xml:space="preserve">FRAmoco123! Hotline </t>
  </si>
  <si>
    <t>iban perso</t>
  </si>
  <si>
    <t>fbx35964567</t>
  </si>
  <si>
    <t xml:space="preserve">FRAmoco12345!  </t>
  </si>
  <si>
    <t>07,84,09,89,31</t>
  </si>
  <si>
    <t>06,81,26,64,15</t>
  </si>
  <si>
    <t>06,31,49,87,20</t>
  </si>
  <si>
    <t>RDV</t>
  </si>
  <si>
    <t>iban ARI</t>
  </si>
  <si>
    <t>Fibre 23/10 - 08-10h00</t>
  </si>
  <si>
    <t>02,98,78,29,05</t>
  </si>
  <si>
    <t>Numero</t>
  </si>
  <si>
    <t>1395 le 14/10/2025</t>
  </si>
  <si>
    <t>2-4p+2chiens 2LITS Doubles</t>
  </si>
  <si>
    <t>Reich</t>
  </si>
  <si>
    <t>Baarstrasse 12</t>
  </si>
  <si>
    <t>D-78609</t>
  </si>
  <si>
    <t>Tuningen</t>
  </si>
  <si>
    <t>00,49,176,8062,6583</t>
  </si>
  <si>
    <t>sandra.reich81@web.de</t>
  </si>
  <si>
    <t>Zweifel</t>
  </si>
  <si>
    <t>Flori</t>
  </si>
  <si>
    <t>Ziegeweg 5</t>
  </si>
  <si>
    <t>DCH-4102</t>
  </si>
  <si>
    <t>Binningen</t>
  </si>
  <si>
    <t>00,41,763424711</t>
  </si>
  <si>
    <t>flori.zweifel@gmx.net</t>
  </si>
  <si>
    <t>3p + 1 chien gratuit (2 lit double)</t>
  </si>
  <si>
    <t>522,5 le 20/10/2025</t>
  </si>
  <si>
    <t>645 le 21/10/25</t>
  </si>
  <si>
    <t>retour cleder 2025</t>
  </si>
  <si>
    <t>Operateur</t>
  </si>
  <si>
    <t>Bouygue</t>
  </si>
  <si>
    <t>Orange</t>
  </si>
  <si>
    <t>Freebox revolution light</t>
  </si>
  <si>
    <t>Offre</t>
  </si>
  <si>
    <t>Freebox Pop S</t>
  </si>
  <si>
    <t>Fibre 29/10 - 16-18h00</t>
  </si>
  <si>
    <t>Vendredi 28 Nov. 14-16h</t>
  </si>
  <si>
    <t>à voir fibre</t>
  </si>
  <si>
    <t>Electricité EDF</t>
  </si>
  <si>
    <t>fibre</t>
  </si>
  <si>
    <t>25/11 (10-12)</t>
  </si>
  <si>
    <t>28/11 fibre</t>
  </si>
  <si>
    <t>Mänz</t>
  </si>
  <si>
    <t>Constantin</t>
  </si>
  <si>
    <t>Veilchenweg 8/1</t>
  </si>
  <si>
    <t>D-72184</t>
  </si>
  <si>
    <t>Eutingen</t>
  </si>
  <si>
    <t>00,49,177,378,6758</t>
  </si>
  <si>
    <t>cnmaenz@googlemail.com</t>
  </si>
  <si>
    <t>3p (10 ans)</t>
  </si>
  <si>
    <t>645 le 10/11/2025</t>
  </si>
  <si>
    <t>1395 le 12/11/2025</t>
  </si>
  <si>
    <t>Heinze</t>
  </si>
  <si>
    <t>Axel Armand</t>
  </si>
  <si>
    <t>00,49,171/4002633</t>
  </si>
  <si>
    <t>axel.heinze@t-online.de</t>
  </si>
  <si>
    <t>Rossdorf</t>
  </si>
  <si>
    <t>1245 le 20/11/25</t>
  </si>
  <si>
    <t>Jordan</t>
  </si>
  <si>
    <t>Melanie</t>
  </si>
  <si>
    <t>00,49,174,183329</t>
  </si>
  <si>
    <t>info@menschund.team</t>
  </si>
  <si>
    <t>3-4p+2 chiens</t>
  </si>
  <si>
    <t>Taxe touristiques 2025</t>
  </si>
  <si>
    <t>Bickenbach</t>
  </si>
  <si>
    <t>Judith and Julia</t>
  </si>
  <si>
    <t>Parkweg 5</t>
  </si>
  <si>
    <t>D-75334</t>
  </si>
  <si>
    <t>Straubenhardt</t>
  </si>
  <si>
    <t>00,49,1575,0629188</t>
  </si>
  <si>
    <t>judy91@web.de</t>
  </si>
  <si>
    <t>522,5 le 02/12/2025</t>
  </si>
  <si>
    <t>2p+2 chiens + serviettes</t>
  </si>
  <si>
    <r>
      <t xml:space="preserve">3p + 1chien </t>
    </r>
    <r>
      <rPr>
        <b/>
        <sz val="8"/>
        <rFont val="Arial"/>
        <family val="2"/>
      </rPr>
      <t>2 double et 1 simple</t>
    </r>
  </si>
  <si>
    <t>Jan + Steffi</t>
  </si>
  <si>
    <t>Kressl/Wolfram Eisenmann</t>
  </si>
  <si>
    <t>545 le 4/12</t>
  </si>
  <si>
    <t>taxe habitation 2025</t>
  </si>
  <si>
    <t>payée le 12/12/25</t>
  </si>
  <si>
    <t>3p+2chiens (2 chambres) + Serviettes</t>
  </si>
  <si>
    <t>895 le 23/12/25</t>
  </si>
  <si>
    <t>e.goth@goth-online.de</t>
  </si>
  <si>
    <t>ina.unger@vodafone.de</t>
  </si>
  <si>
    <t>Rocco + Bianca</t>
  </si>
  <si>
    <t>w.heimbuechel@t-online.de</t>
  </si>
  <si>
    <t>Jonathan et Emilie</t>
  </si>
  <si>
    <t>Lieu dit les Sablons</t>
  </si>
  <si>
    <t>Parigne le Polin</t>
  </si>
  <si>
    <t>06,20,24,42,31</t>
  </si>
  <si>
    <t>jonathan.paris35@sfr.fr</t>
  </si>
  <si>
    <t>2p (femmes 54-56) + 2 chiens (gratuits) + 1 LIT</t>
  </si>
  <si>
    <t>Grunwald</t>
  </si>
  <si>
    <t>Dr Bernhard</t>
  </si>
  <si>
    <t>272,5 le 29/12</t>
  </si>
  <si>
    <t>dr.bernd.grunwald@t-online.de</t>
  </si>
  <si>
    <t>Bretschneider</t>
  </si>
  <si>
    <t>Leinsamenweg 79</t>
  </si>
  <si>
    <t>D-50933</t>
  </si>
  <si>
    <t>00,49,176,845,047,69</t>
  </si>
  <si>
    <t>b.w.bretschneider@gmail.com</t>
  </si>
  <si>
    <t>Kappeln</t>
  </si>
  <si>
    <t>00,49,46,42,98,72,70</t>
  </si>
  <si>
    <t>Olmeror weg 27</t>
  </si>
  <si>
    <t>550 le 29/12/25</t>
  </si>
  <si>
    <t>1638 3p+2 labradors</t>
  </si>
  <si>
    <t xml:space="preserve"> 2p+2chiens</t>
  </si>
  <si>
    <t>Retour plouescat 2025</t>
  </si>
  <si>
    <t>TOTAL 2023</t>
  </si>
  <si>
    <t>TOTAL 2024</t>
  </si>
  <si>
    <t>TOTAL 2026</t>
  </si>
  <si>
    <t>390 le 06/01/26</t>
  </si>
  <si>
    <t>1445 le 06/01/2026</t>
  </si>
  <si>
    <t>298 le 07/01/2026</t>
  </si>
  <si>
    <t>Freebox</t>
  </si>
  <si>
    <t xml:space="preserve">Freebox </t>
  </si>
  <si>
    <t>Heinemann</t>
  </si>
  <si>
    <t>Thaddäusstrasse 113</t>
  </si>
  <si>
    <t>D-33415</t>
  </si>
  <si>
    <t>Verl</t>
  </si>
  <si>
    <t>00,49,175,25,60,200</t>
  </si>
  <si>
    <t>jh@ventura-systems.de</t>
  </si>
  <si>
    <t>2p+chien gratuit</t>
  </si>
  <si>
    <t>2p + 2 chiens + serviettes - 2 chambres</t>
  </si>
  <si>
    <t>1245 le 13/01/2026</t>
  </si>
  <si>
    <t xml:space="preserve">Buchheidt - Dörfler </t>
  </si>
  <si>
    <t>Isabelle</t>
  </si>
  <si>
    <t xml:space="preserve">Werkstättenweg 4 </t>
  </si>
  <si>
    <t>D-91088</t>
  </si>
  <si>
    <t>Bubenreuth</t>
  </si>
  <si>
    <t>00,49,17627394243</t>
  </si>
  <si>
    <t>ibd@doerfler-bogen.de</t>
  </si>
  <si>
    <t>1 Golden</t>
  </si>
  <si>
    <t>Küpper</t>
  </si>
  <si>
    <t>Hoinigsberger Strasse 15</t>
  </si>
  <si>
    <t>D-45472</t>
  </si>
  <si>
    <t>Mülhem</t>
  </si>
  <si>
    <t>00,49,163,8988220</t>
  </si>
  <si>
    <t>00,49,177,7122452</t>
  </si>
  <si>
    <t>Schute</t>
  </si>
  <si>
    <t>Hetmann-Sievers Weg 2 A</t>
  </si>
  <si>
    <t>D-30900</t>
  </si>
  <si>
    <t>Wedework</t>
  </si>
  <si>
    <t>00,49,172,3714258</t>
  </si>
  <si>
    <t>aschulte09@web.de</t>
  </si>
  <si>
    <t>2p+1chien veulent 10 jours</t>
  </si>
  <si>
    <t>250 on 03/02</t>
  </si>
  <si>
    <t>697,50 le 03/02/2025</t>
  </si>
  <si>
    <t>397,5 le 03/02/26</t>
  </si>
  <si>
    <t>622,5 le 03/02/2026</t>
  </si>
  <si>
    <t>Burkhardt</t>
  </si>
  <si>
    <t>Goethestrasse 4</t>
  </si>
  <si>
    <t>D-78667</t>
  </si>
  <si>
    <t>Villingendrof</t>
  </si>
  <si>
    <t>00,49,160,401,9008</t>
  </si>
  <si>
    <t>chimi66@gmx.de</t>
  </si>
  <si>
    <t>2 : Bichon havanais, Boston Terrier</t>
  </si>
  <si>
    <t>1150 le 13/02/2026</t>
  </si>
  <si>
    <t>oui 10%</t>
  </si>
  <si>
    <t>Guillet</t>
  </si>
  <si>
    <t>Régis et Valérie</t>
  </si>
  <si>
    <t>34 rue de la cossonnière</t>
  </si>
  <si>
    <t>Servon sur Vilaie</t>
  </si>
  <si>
    <t>06,16,23,83,25 / 06,46,43,60,13</t>
  </si>
  <si>
    <t>regis.guillet44@gmail.com</t>
  </si>
  <si>
    <t>2p+2chien</t>
  </si>
  <si>
    <t>400 le 16/02/2026</t>
  </si>
  <si>
    <t>In der Oberweise 7</t>
  </si>
  <si>
    <t>D</t>
  </si>
  <si>
    <t>00,49,17631117595</t>
  </si>
  <si>
    <t>622,50 le 24/02/26</t>
  </si>
  <si>
    <t>Strauch</t>
  </si>
  <si>
    <t>Günter</t>
  </si>
  <si>
    <t>Borengasse 4</t>
  </si>
  <si>
    <t>D-54309</t>
  </si>
  <si>
    <t>Butzweiler</t>
  </si>
  <si>
    <t>00,49,170,3009051</t>
  </si>
  <si>
    <t>gs@architekt-strauch.de</t>
  </si>
  <si>
    <t>Petry</t>
  </si>
  <si>
    <t>marion.petry@icloud.com</t>
  </si>
  <si>
    <t>645le 24/02/26</t>
  </si>
  <si>
    <t>Hüttemann</t>
  </si>
  <si>
    <t>Haslert 12</t>
  </si>
  <si>
    <t>D-41366</t>
  </si>
  <si>
    <t>Schwalmtal</t>
  </si>
  <si>
    <t>00,49,1725317853</t>
  </si>
  <si>
    <t>nicole@gartenbau-huettemann.de</t>
  </si>
  <si>
    <t>Nigsch</t>
  </si>
  <si>
    <t>Eugen</t>
  </si>
  <si>
    <t>St Annastrasse 24</t>
  </si>
  <si>
    <t>AU-6700</t>
  </si>
  <si>
    <t>Bludenz</t>
  </si>
  <si>
    <t>österreich</t>
  </si>
  <si>
    <t>00,43,676,9577599</t>
  </si>
  <si>
    <t>annetteberthold@yahoo.fr</t>
  </si>
  <si>
    <t>446 le 25/02</t>
  </si>
  <si>
    <t>Amarris</t>
  </si>
  <si>
    <t>347,50 le 27/02/2026</t>
  </si>
  <si>
    <t>790 le 27/02/2026</t>
  </si>
  <si>
    <t>Trecate</t>
  </si>
  <si>
    <t>Iris et Robert</t>
  </si>
  <si>
    <t>AU-3441</t>
  </si>
  <si>
    <t>Freundorf</t>
  </si>
  <si>
    <t>Haudtrasse 59</t>
  </si>
  <si>
    <t>00,43,699,11096815</t>
  </si>
  <si>
    <t>iris31@gmx.at</t>
  </si>
  <si>
    <t>Gowan-Dury</t>
  </si>
  <si>
    <t>Béatrice</t>
  </si>
  <si>
    <t>dubea@pt.lu</t>
  </si>
  <si>
    <t>Menager</t>
  </si>
  <si>
    <t xml:space="preserve">4 Wantergaass </t>
  </si>
  <si>
    <t>L-7651</t>
  </si>
  <si>
    <t>Luxembroug</t>
  </si>
  <si>
    <t>00,352,691720224</t>
  </si>
  <si>
    <t>p.menager68@gmail.com</t>
  </si>
  <si>
    <t>350€ le 28/02</t>
  </si>
  <si>
    <t>630 le 01/03</t>
  </si>
  <si>
    <t>hunde-urllaub.net</t>
  </si>
  <si>
    <t>Esther</t>
  </si>
  <si>
    <t>Sagenmattstrasse 1</t>
  </si>
  <si>
    <t>CH-5735</t>
  </si>
  <si>
    <t>Pfeffikon</t>
  </si>
  <si>
    <t>00,41,79,7953591</t>
  </si>
  <si>
    <t>esther.zeier@bluewin.ch</t>
  </si>
  <si>
    <t>550 le 07/03/2026</t>
  </si>
  <si>
    <t>Zeier-Koch</t>
  </si>
  <si>
    <t>4p + 2 chiens - 4 lits</t>
  </si>
  <si>
    <t>2p+2chiens 2 LITS</t>
  </si>
  <si>
    <t>1320 le 26/03/26</t>
  </si>
  <si>
    <t>Illes</t>
  </si>
  <si>
    <t>Watzmann Strasse 2</t>
  </si>
  <si>
    <t>D-86316</t>
  </si>
  <si>
    <t>Freidberg</t>
  </si>
  <si>
    <t>00,49,176,64,11,73,49</t>
  </si>
  <si>
    <t>i.renato@t-online.de</t>
  </si>
  <si>
    <t>hunde-urlaud.net</t>
  </si>
  <si>
    <t>3p+1chien - 2 Lits</t>
  </si>
  <si>
    <t>1 Bichon Havanais</t>
  </si>
  <si>
    <t>00 352 691 19 51 21</t>
  </si>
  <si>
    <t>2100 le 01/04/2026</t>
  </si>
  <si>
    <t>2p+3chiens - 2 LITS</t>
  </si>
  <si>
    <t>2p+1chien (2 Lits (fille)</t>
  </si>
  <si>
    <t>895  le15/04/25</t>
  </si>
  <si>
    <t>perfect-symphony@posteo.de;wendekreis.zero@yahoo.de</t>
  </si>
  <si>
    <t>447,5 le20/04/2026</t>
  </si>
  <si>
    <t>retour 2005 Cleder et plouescat 2025</t>
  </si>
  <si>
    <t>4380 - 5p + 2 chiens (Finn and Beau)</t>
  </si>
  <si>
    <t>Scholten</t>
  </si>
  <si>
    <t>Ariane</t>
  </si>
  <si>
    <t>messenger</t>
  </si>
  <si>
    <t>1000 le 27/04/26</t>
  </si>
  <si>
    <t>Objet</t>
  </si>
  <si>
    <t>Montant</t>
  </si>
  <si>
    <t>Epargne CA</t>
  </si>
  <si>
    <t>Compte CA</t>
  </si>
  <si>
    <t>1490*2-2p 2 chiens</t>
  </si>
  <si>
    <t>2027 - Roscoff</t>
  </si>
  <si>
    <t>Charges 2027</t>
  </si>
  <si>
    <t>UCCLE</t>
  </si>
  <si>
    <t>00,32,496,223124</t>
  </si>
  <si>
    <t>447,5 le 21/04/26</t>
  </si>
  <si>
    <t>Stoffers</t>
  </si>
  <si>
    <t>Mühlenane 2</t>
  </si>
  <si>
    <t>D-53909</t>
  </si>
  <si>
    <t>Zülpich</t>
  </si>
  <si>
    <t>00,49,173,90,43,708</t>
  </si>
  <si>
    <t>ulrich-stoffers@t-online.de</t>
  </si>
  <si>
    <t>Fachenfelder Weg 137</t>
  </si>
  <si>
    <t>D-21220</t>
  </si>
  <si>
    <t>Seevetal</t>
  </si>
  <si>
    <t>00,49,170,29,18112</t>
  </si>
  <si>
    <t>michael.giese@fbnord.de</t>
  </si>
  <si>
    <t>Moyenne vente semaine</t>
  </si>
  <si>
    <t>438 le 05/05/26</t>
  </si>
  <si>
    <t>2p + 1 chien (gratuit) 1 lit</t>
  </si>
  <si>
    <t>1468 le 05/05/26</t>
  </si>
  <si>
    <t>Jens + Steffi</t>
  </si>
  <si>
    <t>2p - 2 chiens?  REtour *7</t>
  </si>
  <si>
    <t>3p+1chien - 2 lits doubles</t>
  </si>
  <si>
    <t>Fischer</t>
  </si>
  <si>
    <t>Conchita</t>
  </si>
  <si>
    <t>Bergmattstrasse 2</t>
  </si>
  <si>
    <t>CH-8915</t>
  </si>
  <si>
    <t>Hausen am albis</t>
  </si>
  <si>
    <t>00,41,79,365,35,46</t>
  </si>
  <si>
    <t>conchita@boxrobin.ch</t>
  </si>
  <si>
    <t>4p+3 border - 2 lits doubles</t>
  </si>
  <si>
    <t>Madeleine &amp; Bruno</t>
  </si>
  <si>
    <t>Muehlestrasse 1</t>
  </si>
  <si>
    <t>CH-3123</t>
  </si>
  <si>
    <t>Belp</t>
  </si>
  <si>
    <t>00,41,79,317,13,07</t>
  </si>
  <si>
    <t>arnold.madeleine@bluewin.ch</t>
  </si>
  <si>
    <t>2p + 2 chiens Tervueren + Australien Shepherd</t>
  </si>
  <si>
    <t>625 le 13/05/26</t>
  </si>
  <si>
    <t>2p 2 chiens 2 lits</t>
  </si>
  <si>
    <t>Année 2027</t>
  </si>
  <si>
    <t>2p puis 4 (2eme semaine)+1 chien + prevoir serviettes</t>
  </si>
  <si>
    <t>Michael + Stella</t>
  </si>
  <si>
    <t>Aeplistrasse 4</t>
  </si>
  <si>
    <t>CH-5018</t>
  </si>
  <si>
    <t>Erlinsbach</t>
  </si>
  <si>
    <t>00,41,76,387,57,18</t>
  </si>
  <si>
    <t>n-schmid@bluewin.ch</t>
  </si>
  <si>
    <t>375,5 le 21/05/26</t>
  </si>
  <si>
    <t>2p + 2 chiens + com WA</t>
  </si>
  <si>
    <t>350 le 22/05/2026</t>
  </si>
  <si>
    <t>2018€ le 27/05/2026</t>
  </si>
  <si>
    <t>4p+3chiens - 2 lits doubles</t>
  </si>
  <si>
    <t>xavier cadiou</t>
  </si>
  <si>
    <t>3p (1enfant) 1 lit double + 1 single</t>
  </si>
  <si>
    <t>Axa Compte Titre ordinaire</t>
  </si>
  <si>
    <t>Axa Assurance</t>
  </si>
  <si>
    <t>Wise Action</t>
  </si>
  <si>
    <t>CMB - Livret</t>
  </si>
  <si>
    <t>Trade Republic PEA</t>
  </si>
  <si>
    <t>Trade Republic compte</t>
  </si>
  <si>
    <t>Trade Republic Compte Titre</t>
  </si>
  <si>
    <t>Trade Republic Crypto</t>
  </si>
  <si>
    <t>Monabanq</t>
  </si>
  <si>
    <t>ARI Compte courant</t>
  </si>
  <si>
    <t>ARI Treso'VIV</t>
  </si>
  <si>
    <t>ARI Dollar</t>
  </si>
  <si>
    <t>Total 12/06/2026</t>
  </si>
  <si>
    <t>Axa nouveau placement</t>
  </si>
  <si>
    <t>Nathalie parents</t>
  </si>
  <si>
    <t>Xavier - CA - Livret LDD Solidaire</t>
  </si>
  <si>
    <t>Nathalie - CA - Livret LDD Solidaire</t>
  </si>
  <si>
    <t>Axa compte courant</t>
  </si>
  <si>
    <t>Inge + Andrea</t>
  </si>
  <si>
    <t>SAUR : N° 2990095934</t>
  </si>
  <si>
    <t>tane.zbinden@bluewin.ch</t>
  </si>
  <si>
    <t>Geissbühler</t>
  </si>
  <si>
    <t>Talstrasse 11</t>
  </si>
  <si>
    <t>Tanja + Thomas</t>
  </si>
  <si>
    <t xml:space="preserve">CH-3174 </t>
  </si>
  <si>
    <t>Thörishaus - Bern</t>
  </si>
  <si>
    <t>00,41,/795811268</t>
  </si>
  <si>
    <t>Cash à l'arrivée</t>
  </si>
  <si>
    <t>CA - 2028</t>
  </si>
  <si>
    <t>Kerstin</t>
  </si>
  <si>
    <t>Wolfsteiner</t>
  </si>
  <si>
    <t>Hoeheistrasse 1</t>
  </si>
  <si>
    <t>Pich bei Wels</t>
  </si>
  <si>
    <t>00,43,660,4936360</t>
  </si>
  <si>
    <t>Banque</t>
  </si>
  <si>
    <t>TR Xavier</t>
  </si>
  <si>
    <r>
      <t>TR</t>
    </r>
    <r>
      <rPr>
        <b/>
        <sz val="8"/>
        <rFont val="Arial"/>
        <family val="2"/>
      </rPr>
      <t xml:space="preserve"> -</t>
    </r>
    <r>
      <rPr>
        <sz val="8"/>
        <rFont val="Arial"/>
        <family val="2"/>
      </rPr>
      <t xml:space="preserve"> 1033,50 le 18/06/2026</t>
    </r>
  </si>
  <si>
    <t>Dispo</t>
  </si>
  <si>
    <t>4p + 2 chien - 2 lits double et 2 simples (un fauteuil roulant)</t>
  </si>
  <si>
    <t>Teutrine</t>
  </si>
  <si>
    <t>Ägeristrasse 43</t>
  </si>
  <si>
    <t>CH-6300</t>
  </si>
  <si>
    <t>00,41,79,79,72,585</t>
  </si>
  <si>
    <t>gteutrine@teutrine.org</t>
  </si>
  <si>
    <t>2P+1 chiens (2 femmes)</t>
  </si>
  <si>
    <t>hundeurlub</t>
  </si>
  <si>
    <t>Cnota</t>
  </si>
  <si>
    <t>Sebastian</t>
  </si>
  <si>
    <t>Alsenzstrasse 83</t>
  </si>
  <si>
    <t>DE-67808</t>
  </si>
  <si>
    <t>Imsweiler</t>
  </si>
  <si>
    <t>00,49,171,632,9730</t>
  </si>
  <si>
    <t>sebastian.cnota@freenet.de</t>
  </si>
  <si>
    <t>4p + 2 chiens (12-14 ans)</t>
  </si>
  <si>
    <t>TR</t>
  </si>
  <si>
    <t>wolfsteiner.kerstin@gmx.at</t>
  </si>
  <si>
    <t>%/N-1</t>
  </si>
  <si>
    <t>4 adultes et 2 enfants + 2 chien Labrador</t>
  </si>
  <si>
    <t>OVAmoco123</t>
  </si>
  <si>
    <t>Anders</t>
  </si>
  <si>
    <t>6 rue de Leymen</t>
  </si>
  <si>
    <t>00,41,786472889</t>
  </si>
  <si>
    <t>xabbu13@bluewin.ch</t>
  </si>
  <si>
    <t>347,5 le  07/07/26</t>
  </si>
  <si>
    <t>1 Rue du Durrenrain</t>
  </si>
  <si>
    <t>Illtal</t>
  </si>
  <si>
    <t>00,49,771574388 / 0771574388</t>
  </si>
  <si>
    <t>lorenz.volker52@gmail.com</t>
  </si>
  <si>
    <t>4p+4 chiens</t>
  </si>
  <si>
    <t>retour plouescat 2025</t>
  </si>
  <si>
    <t>D-42119</t>
  </si>
  <si>
    <t>Wuppertal</t>
  </si>
  <si>
    <t>TR : 475 le 09/07/2026</t>
  </si>
  <si>
    <t>policier</t>
  </si>
  <si>
    <t>3p (2 adulte + 1 enfant fille 14 ans)+ 1 chien (Berger Allemand) + 2 lits doubles</t>
  </si>
  <si>
    <t>Angelo + Cornelia</t>
  </si>
  <si>
    <t>Renato &amp; Gertrud</t>
  </si>
  <si>
    <t>4p (15-21) + 3 chiens  2 double et 1 simple)</t>
  </si>
  <si>
    <t>3p dont 2 enfants 3 et 6 ans</t>
  </si>
  <si>
    <t>Kerstin + Pablo</t>
  </si>
  <si>
    <t>TR : 422,5 le 13/07/26</t>
  </si>
  <si>
    <t>TR : 545 le 13/07/26</t>
  </si>
  <si>
    <t>TR: 845 le 10/07/2026</t>
  </si>
  <si>
    <t>3p (17 ans) - pas de fils finakement</t>
  </si>
  <si>
    <t>Heri</t>
  </si>
  <si>
    <t>Nadja + Erich</t>
  </si>
  <si>
    <t>Schluchtbachstrasse 17</t>
  </si>
  <si>
    <t>D-4552</t>
  </si>
  <si>
    <t>Derebdingen</t>
  </si>
  <si>
    <t>00,41,76,588,1669</t>
  </si>
  <si>
    <t>n.heri@bluewin.ch</t>
  </si>
  <si>
    <t>TR : 645 le 20/07/26</t>
  </si>
  <si>
    <t>1320 le 22/07 TR : 4030</t>
  </si>
  <si>
    <t>Sann</t>
  </si>
  <si>
    <t>Markus und Daniela</t>
  </si>
  <si>
    <t>Wald strasse 64a</t>
  </si>
  <si>
    <t>D-76297</t>
  </si>
  <si>
    <t>Stutensee</t>
  </si>
  <si>
    <t>daniela.sann@gmail.com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</si>
</sst>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1">
    <numFmt numFmtId="5" formatCode="#,##0\ &quot;€&quot;;\-#,##0\ &quot;€&quot;"/>
    <numFmt numFmtId="6" formatCode="#,##0\ &quot;€&quot;;[Red]\-#,##0\ &quot;€&quot;"/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_-* #,##0.00\ _€_-;\-* #,##0.00\ _€_-;_-* &quot;-&quot;??\ _€_-;_-@_-"/>
    <numFmt numFmtId="165" formatCode="_-* #,##0.0\ &quot;€&quot;_-;\-* #,##0.0\ &quot;€&quot;_-;_-* &quot;-&quot;??\ &quot;€&quot;_-;_-@_-"/>
    <numFmt numFmtId="166" formatCode="_-* #,##0\ &quot;€&quot;_-;\-* #,##0\ &quot;€&quot;_-;_-* &quot;-&quot;??\ &quot;€&quot;_-;_-@_-"/>
    <numFmt numFmtId="167" formatCode="_-* #,##0.0\ _€_-;\-* #,##0.0\ _€_-;_-* &quot;-&quot;??\ _€_-;_-@_-"/>
    <numFmt numFmtId="168" formatCode="_-* #,##0\ _€_-;\-* #,##0\ _€_-;_-* &quot;-&quot;??\ _€_-;_-@_-"/>
    <numFmt numFmtId="169" formatCode="dd/mm/yy;@"/>
    <numFmt numFmtId="170" formatCode="_-* #,##0.0\ _€_-;\-* #,##0.0\ _€_-;_-* &quot;-&quot;?\ _€_-;_-@_-"/>
    <numFmt numFmtId="171" formatCode="[$-F800]dddd\,\ mmmm\ dd\,\ yyyy"/>
    <numFmt numFmtId="172" formatCode="_-* #,##0.0\ &quot;€&quot;_-;\-* #,##0.0\ &quot;€&quot;_-;_-* &quot;-&quot;?\ &quot;€&quot;_-;_-@_-"/>
    <numFmt numFmtId="173" formatCode="0.0"/>
    <numFmt numFmtId="174" formatCode="#,##0\ &quot;€&quot;"/>
    <numFmt numFmtId="175" formatCode="0.000"/>
    <numFmt numFmtId="176" formatCode="[$-40C]mmm\-yy;@"/>
    <numFmt numFmtId="177" formatCode="#,##0.00\ &quot;€&quot;"/>
    <numFmt numFmtId="178" formatCode="#,##0.0\ &quot;€&quot;"/>
    <numFmt numFmtId="179" formatCode="_-* #,##0\ [$€-40C]_-;\-* #,##0\ [$€-40C]_-;_-* &quot;-&quot;??\ [$€-40C]_-;_-@_-"/>
    <numFmt numFmtId="180" formatCode="0.0000"/>
  </numFmts>
  <fonts count="123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8"/>
      <color indexed="12"/>
      <name val="Arial"/>
      <family val="2"/>
    </font>
    <font>
      <sz val="8"/>
      <color indexed="10"/>
      <name val="Arial"/>
      <family val="2"/>
    </font>
    <font>
      <sz val="8"/>
      <color indexed="14"/>
      <name val="Arial"/>
      <family val="2"/>
    </font>
    <font>
      <sz val="8"/>
      <color indexed="11"/>
      <name val="Arial"/>
      <family val="2"/>
    </font>
    <font>
      <sz val="8"/>
      <color indexed="17"/>
      <name val="Arial"/>
      <family val="2"/>
    </font>
    <font>
      <sz val="14"/>
      <name val="Arial Black"/>
      <family val="2"/>
    </font>
    <font>
      <sz val="6"/>
      <name val="Arial"/>
      <family val="2"/>
    </font>
    <font>
      <sz val="6"/>
      <color indexed="10"/>
      <name val="Arial"/>
      <family val="2"/>
    </font>
    <font>
      <sz val="8"/>
      <color indexed="56"/>
      <name val="Arial"/>
      <family val="2"/>
    </font>
    <font>
      <sz val="8"/>
      <color indexed="18"/>
      <name val="Arial"/>
      <family val="2"/>
    </font>
    <font>
      <u/>
      <sz val="8"/>
      <color indexed="12"/>
      <name val="Arial"/>
      <family val="2"/>
    </font>
    <font>
      <u/>
      <sz val="8"/>
      <name val="Arial"/>
      <family val="2"/>
    </font>
    <font>
      <u/>
      <sz val="8"/>
      <color indexed="10"/>
      <name val="Arial"/>
      <family val="2"/>
    </font>
    <font>
      <sz val="10"/>
      <name val="Courier New"/>
      <family val="3"/>
    </font>
    <font>
      <sz val="8"/>
      <name val="Arial"/>
      <family val="2"/>
    </font>
    <font>
      <sz val="12"/>
      <name val="Times New Roman"/>
      <family val="1"/>
    </font>
    <font>
      <sz val="7"/>
      <color indexed="8"/>
      <name val="Verdana"/>
      <family val="2"/>
    </font>
    <font>
      <u/>
      <sz val="10"/>
      <name val="Arial"/>
      <family val="2"/>
    </font>
    <font>
      <sz val="10"/>
      <name val="Arial Unicode MS"/>
      <family val="2"/>
    </font>
    <font>
      <sz val="11"/>
      <name val="Calibri"/>
      <family val="2"/>
    </font>
    <font>
      <b/>
      <sz val="8"/>
      <color indexed="8"/>
      <name val="Arial"/>
      <family val="2"/>
    </font>
    <font>
      <sz val="8"/>
      <name val="Arial Unicode MS"/>
      <family val="2"/>
    </font>
    <font>
      <b/>
      <sz val="8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14"/>
      <name val="Arial Black"/>
      <family val="2"/>
    </font>
    <font>
      <u/>
      <sz val="8"/>
      <color indexed="12"/>
      <name val="Arial"/>
      <family val="2"/>
    </font>
    <font>
      <sz val="8"/>
      <color indexed="17"/>
      <name val="Arial"/>
      <family val="2"/>
    </font>
    <font>
      <u/>
      <sz val="8"/>
      <name val="Arial"/>
      <family val="2"/>
    </font>
    <font>
      <sz val="10"/>
      <color indexed="18"/>
      <name val="Arial"/>
      <family val="2"/>
    </font>
    <font>
      <sz val="6"/>
      <name val="Arial"/>
      <family val="2"/>
    </font>
    <font>
      <sz val="8"/>
      <color indexed="12"/>
      <name val="Arial"/>
      <family val="2"/>
    </font>
    <font>
      <sz val="10"/>
      <name val="Arial"/>
      <family val="2"/>
    </font>
    <font>
      <sz val="8"/>
      <color indexed="10"/>
      <name val="Arial"/>
      <family val="2"/>
    </font>
    <font>
      <sz val="6"/>
      <color indexed="10"/>
      <name val="Arial"/>
      <family val="2"/>
    </font>
    <font>
      <u/>
      <sz val="8"/>
      <color indexed="10"/>
      <name val="Arial"/>
      <family val="2"/>
    </font>
    <font>
      <sz val="8"/>
      <color indexed="56"/>
      <name val="Arial"/>
      <family val="2"/>
    </font>
    <font>
      <sz val="8"/>
      <color indexed="18"/>
      <name val="Arial"/>
      <family val="2"/>
    </font>
    <font>
      <b/>
      <sz val="6"/>
      <name val="Arial"/>
      <family val="2"/>
    </font>
    <font>
      <sz val="10"/>
      <name val="Courier New"/>
      <family val="3"/>
    </font>
    <font>
      <u/>
      <sz val="10"/>
      <color indexed="12"/>
      <name val="Arial"/>
      <family val="2"/>
    </font>
    <font>
      <sz val="7"/>
      <color indexed="8"/>
      <name val="Verdana"/>
      <family val="2"/>
    </font>
    <font>
      <sz val="10"/>
      <color indexed="8"/>
      <name val="Arial"/>
      <family val="2"/>
    </font>
    <font>
      <u/>
      <sz val="10"/>
      <name val="Arial"/>
      <family val="2"/>
    </font>
    <font>
      <sz val="10"/>
      <name val="Sans-serif"/>
    </font>
    <font>
      <sz val="11"/>
      <color rgb="FF6C6C6C"/>
      <name val="Arial"/>
      <family val="2"/>
    </font>
    <font>
      <sz val="11"/>
      <name val="Calibri"/>
      <family val="2"/>
    </font>
    <font>
      <sz val="8"/>
      <color rgb="FF3F4954"/>
      <name val="Arial"/>
      <family val="2"/>
    </font>
    <font>
      <i/>
      <sz val="10"/>
      <name val="Arial"/>
      <family val="2"/>
    </font>
    <font>
      <sz val="9"/>
      <name val="Arial"/>
      <family val="2"/>
    </font>
    <font>
      <b/>
      <sz val="9"/>
      <color rgb="FF333333"/>
      <name val="Arial"/>
      <family val="2"/>
    </font>
    <font>
      <sz val="8"/>
      <color indexed="11"/>
      <name val="Arial"/>
      <family val="2"/>
    </font>
    <font>
      <sz val="8"/>
      <color indexed="14"/>
      <name val="Arial"/>
      <family val="2"/>
    </font>
    <font>
      <sz val="10"/>
      <color rgb="FF000000"/>
      <name val="Arial"/>
      <family val="2"/>
    </font>
    <font>
      <b/>
      <sz val="8"/>
      <color rgb="FF333333"/>
      <name val="Arial"/>
      <family val="2"/>
    </font>
    <font>
      <sz val="11"/>
      <name val="Comic Sans MS"/>
      <family val="4"/>
    </font>
    <font>
      <sz val="9"/>
      <color rgb="FF333333"/>
      <name val="Arial"/>
      <family val="2"/>
    </font>
    <font>
      <b/>
      <sz val="12"/>
      <color rgb="FF202020"/>
      <name val="Arial"/>
      <family val="2"/>
    </font>
    <font>
      <sz val="8"/>
      <color rgb="FF333333"/>
      <name val="Arial"/>
      <family val="2"/>
    </font>
    <font>
      <b/>
      <sz val="7"/>
      <color rgb="FF000000"/>
      <name val="Arial"/>
      <family val="2"/>
    </font>
    <font>
      <sz val="8"/>
      <name val="Arial Black"/>
      <family val="2"/>
    </font>
    <font>
      <sz val="8"/>
      <name val="Courier New"/>
      <family val="3"/>
    </font>
    <font>
      <sz val="8"/>
      <color indexed="8"/>
      <name val="Verdana"/>
      <family val="2"/>
    </font>
    <font>
      <sz val="8"/>
      <name val="Times New Roman"/>
      <family val="1"/>
    </font>
    <font>
      <sz val="8"/>
      <color indexed="8"/>
      <name val="Arial"/>
      <family val="2"/>
    </font>
    <font>
      <sz val="8"/>
      <name val="Sans-serif"/>
    </font>
    <font>
      <sz val="8"/>
      <color rgb="FF6C6C6C"/>
      <name val="Arial"/>
      <family val="2"/>
    </font>
    <font>
      <sz val="8"/>
      <name val="Calibri"/>
      <family val="2"/>
    </font>
    <font>
      <i/>
      <sz val="8"/>
      <name val="Arial"/>
      <family val="2"/>
    </font>
    <font>
      <sz val="8"/>
      <color rgb="FF000000"/>
      <name val="Arial"/>
      <family val="2"/>
    </font>
    <font>
      <sz val="8"/>
      <name val="Comic Sans MS"/>
      <family val="4"/>
    </font>
    <font>
      <b/>
      <i/>
      <sz val="8"/>
      <name val="Arial"/>
      <family val="2"/>
    </font>
    <font>
      <sz val="8"/>
      <color theme="1"/>
      <name val="Arial"/>
      <family val="2"/>
    </font>
    <font>
      <u/>
      <sz val="8"/>
      <color theme="1"/>
      <name val="Arial"/>
      <family val="2"/>
    </font>
    <font>
      <b/>
      <sz val="10.5"/>
      <color rgb="FF202020"/>
      <name val="Arial"/>
      <family val="2"/>
    </font>
    <font>
      <sz val="10.5"/>
      <color rgb="FF202020"/>
      <name val="Arial"/>
      <family val="2"/>
    </font>
    <font>
      <sz val="8"/>
      <color rgb="FF717171"/>
      <name val="Segoe UI"/>
      <family val="2"/>
    </font>
    <font>
      <sz val="8"/>
      <color rgb="FFFF3300"/>
      <name val="Arial"/>
      <family val="2"/>
    </font>
    <font>
      <sz val="9"/>
      <color rgb="FFFF3300"/>
      <name val="Arial"/>
      <family val="2"/>
    </font>
    <font>
      <b/>
      <sz val="8"/>
      <color rgb="FFFF3300"/>
      <name val="Arial"/>
      <family val="2"/>
    </font>
    <font>
      <sz val="10"/>
      <color rgb="FFFF3300"/>
      <name val="Arial"/>
      <family val="2"/>
    </font>
    <font>
      <i/>
      <u/>
      <sz val="8"/>
      <color indexed="12"/>
      <name val="Arial"/>
      <family val="2"/>
    </font>
    <font>
      <b/>
      <sz val="8"/>
      <color theme="1"/>
      <name val="Arial"/>
      <family val="2"/>
    </font>
    <font>
      <sz val="8"/>
      <color rgb="FF5C667B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u/>
      <sz val="8"/>
      <color rgb="FFFF3300"/>
      <name val="Arial"/>
      <family val="2"/>
    </font>
    <font>
      <u/>
      <sz val="8"/>
      <color indexed="12"/>
      <name val="Calibri"/>
      <family val="2"/>
    </font>
    <font>
      <sz val="10.5"/>
      <name val="Arial"/>
      <family val="2"/>
    </font>
    <font>
      <sz val="8"/>
      <color rgb="FFFF000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i/>
      <sz val="9"/>
      <name val="Arial"/>
      <family val="2"/>
    </font>
    <font>
      <sz val="8"/>
      <name val="Segoe UI"/>
      <family val="2"/>
    </font>
    <font>
      <i/>
      <u/>
      <sz val="8"/>
      <name val="Arial"/>
      <family val="2"/>
    </font>
    <font>
      <sz val="10"/>
      <color theme="1"/>
      <name val="Segoe UI"/>
      <family val="2"/>
    </font>
    <font>
      <b/>
      <i/>
      <sz val="10"/>
      <name val="Arial"/>
      <family val="2"/>
    </font>
    <font>
      <sz val="8"/>
      <color rgb="FF404040"/>
      <name val="Arial"/>
      <family val="2"/>
    </font>
    <font>
      <b/>
      <sz val="7"/>
      <color rgb="FF215082"/>
      <name val="Arial"/>
      <family val="2"/>
    </font>
    <font>
      <sz val="7"/>
      <color rgb="FF215082"/>
      <name val="Arial"/>
      <family val="2"/>
    </font>
    <font>
      <sz val="7"/>
      <name val="Arial"/>
      <family val="2"/>
    </font>
    <font>
      <u/>
      <sz val="7"/>
      <color indexed="12"/>
      <name val="Arial"/>
      <family val="2"/>
    </font>
    <font>
      <sz val="8"/>
      <color theme="1"/>
      <name val="Segoe UI"/>
      <family val="2"/>
    </font>
    <font>
      <sz val="8"/>
      <color rgb="FFFFFF00"/>
      <name val="Arial"/>
      <family val="2"/>
    </font>
    <font>
      <sz val="8"/>
      <color theme="9" tint="-0.249977111117893"/>
      <name val="Arial"/>
      <family val="2"/>
    </font>
    <font>
      <b/>
      <sz val="10"/>
      <color theme="1"/>
      <name val="Arial"/>
      <family val="2"/>
    </font>
    <font>
      <sz val="9"/>
      <color rgb="FF000000"/>
      <name val="Verdana"/>
      <family val="2"/>
    </font>
    <font>
      <i/>
      <sz val="8"/>
      <color rgb="FF333333"/>
      <name val="Arial"/>
      <family val="2"/>
    </font>
    <font>
      <i/>
      <u/>
      <sz val="10"/>
      <color indexed="12"/>
      <name val="Arial"/>
      <family val="2"/>
    </font>
    <font>
      <sz val="8"/>
      <color rgb="FF161616"/>
      <name val="Arial"/>
      <family val="2"/>
    </font>
    <font>
      <sz val="9"/>
      <name val="Calibri"/>
      <family val="2"/>
    </font>
    <font>
      <u/>
      <sz val="10"/>
      <color rgb="FFFF0000"/>
      <name val="Arial"/>
      <family val="2"/>
    </font>
    <font>
      <u/>
      <sz val="8"/>
      <color rgb="FFFF0000"/>
      <name val="Arial"/>
      <family val="2"/>
    </font>
    <font>
      <sz val="12"/>
      <name val="Arial"/>
      <family val="2"/>
    </font>
  </fonts>
  <fills count="4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33993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rgb="FF999999"/>
      </left>
      <right style="medium">
        <color rgb="FF999999"/>
      </right>
      <top style="medium">
        <color rgb="FF999999"/>
      </top>
      <bottom style="medium">
        <color rgb="FF9999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171" fontId="0" fillId="0" borderId="0"/>
    <xf numFmtId="44" fontId="1" fillId="0" borderId="0" applyFont="0" applyFill="0" applyBorder="0" applyAlignment="0" applyProtection="0"/>
    <xf numFmtId="171" fontId="2" fillId="0" borderId="0" applyNumberFormat="0" applyFill="0" applyBorder="0" applyAlignment="0" applyProtection="0">
      <alignment vertical="top"/>
      <protection locked="0"/>
    </xf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09">
    <xf numFmtId="171" fontId="0" fillId="0" borderId="0" xfId="0"/>
    <xf numFmtId="16" fontId="0" fillId="0" borderId="0" xfId="0" applyNumberFormat="1"/>
    <xf numFmtId="171" fontId="2" fillId="0" borderId="0" xfId="2" applyAlignment="1" applyProtection="1"/>
    <xf numFmtId="171" fontId="3" fillId="0" borderId="0" xfId="0" applyFont="1"/>
    <xf numFmtId="171" fontId="4" fillId="0" borderId="0" xfId="0" applyFont="1"/>
    <xf numFmtId="166" fontId="0" fillId="0" borderId="0" xfId="1" applyNumberFormat="1" applyFont="1"/>
    <xf numFmtId="166" fontId="5" fillId="0" borderId="0" xfId="1" applyNumberFormat="1" applyFont="1"/>
    <xf numFmtId="171" fontId="6" fillId="0" borderId="0" xfId="0" applyFont="1"/>
    <xf numFmtId="171" fontId="7" fillId="0" borderId="0" xfId="0" applyFont="1"/>
    <xf numFmtId="171" fontId="8" fillId="0" borderId="0" xfId="0" applyFont="1"/>
    <xf numFmtId="171" fontId="7" fillId="0" borderId="3" xfId="0" applyFont="1" applyBorder="1"/>
    <xf numFmtId="16" fontId="7" fillId="0" borderId="0" xfId="0" applyNumberFormat="1" applyFont="1"/>
    <xf numFmtId="166" fontId="7" fillId="0" borderId="0" xfId="1" applyNumberFormat="1" applyFont="1"/>
    <xf numFmtId="171" fontId="7" fillId="0" borderId="4" xfId="0" applyFont="1" applyBorder="1"/>
    <xf numFmtId="166" fontId="9" fillId="0" borderId="0" xfId="1" applyNumberFormat="1" applyFont="1"/>
    <xf numFmtId="3" fontId="7" fillId="0" borderId="0" xfId="0" applyNumberFormat="1" applyFont="1"/>
    <xf numFmtId="6" fontId="7" fillId="0" borderId="0" xfId="0" applyNumberFormat="1" applyFont="1"/>
    <xf numFmtId="171" fontId="7" fillId="0" borderId="3" xfId="0" applyFont="1" applyBorder="1" applyAlignment="1">
      <alignment horizontal="left"/>
    </xf>
    <xf numFmtId="171" fontId="6" fillId="0" borderId="5" xfId="0" applyFont="1" applyBorder="1"/>
    <xf numFmtId="166" fontId="7" fillId="0" borderId="4" xfId="1" applyNumberFormat="1" applyFont="1" applyBorder="1"/>
    <xf numFmtId="171" fontId="7" fillId="4" borderId="3" xfId="0" applyFont="1" applyFill="1" applyBorder="1"/>
    <xf numFmtId="171" fontId="7" fillId="4" borderId="0" xfId="0" applyFont="1" applyFill="1"/>
    <xf numFmtId="166" fontId="7" fillId="4" borderId="0" xfId="1" applyNumberFormat="1" applyFont="1" applyFill="1"/>
    <xf numFmtId="166" fontId="7" fillId="4" borderId="4" xfId="1" applyNumberFormat="1" applyFont="1" applyFill="1" applyBorder="1"/>
    <xf numFmtId="171" fontId="15" fillId="4" borderId="0" xfId="0" applyFont="1" applyFill="1"/>
    <xf numFmtId="171" fontId="10" fillId="4" borderId="3" xfId="0" applyFont="1" applyFill="1" applyBorder="1"/>
    <xf numFmtId="171" fontId="10" fillId="4" borderId="0" xfId="0" applyFont="1" applyFill="1"/>
    <xf numFmtId="171" fontId="16" fillId="4" borderId="0" xfId="0" applyFont="1" applyFill="1"/>
    <xf numFmtId="166" fontId="10" fillId="4" borderId="0" xfId="1" applyNumberFormat="1" applyFont="1" applyFill="1"/>
    <xf numFmtId="169" fontId="6" fillId="0" borderId="0" xfId="0" applyNumberFormat="1" applyFont="1"/>
    <xf numFmtId="169" fontId="7" fillId="4" borderId="0" xfId="0" applyNumberFormat="1" applyFont="1" applyFill="1"/>
    <xf numFmtId="169" fontId="7" fillId="0" borderId="0" xfId="0" applyNumberFormat="1" applyFont="1"/>
    <xf numFmtId="169" fontId="10" fillId="4" borderId="0" xfId="0" applyNumberFormat="1" applyFont="1" applyFill="1"/>
    <xf numFmtId="169" fontId="11" fillId="0" borderId="0" xfId="0" applyNumberFormat="1" applyFont="1"/>
    <xf numFmtId="169" fontId="12" fillId="0" borderId="0" xfId="0" applyNumberFormat="1" applyFont="1"/>
    <xf numFmtId="171" fontId="14" fillId="4" borderId="0" xfId="0" applyFont="1" applyFill="1"/>
    <xf numFmtId="166" fontId="13" fillId="4" borderId="4" xfId="1" applyNumberFormat="1" applyFont="1" applyFill="1" applyBorder="1"/>
    <xf numFmtId="171" fontId="7" fillId="4" borderId="0" xfId="0" applyFont="1" applyFill="1" applyAlignment="1">
      <alignment wrapText="1"/>
    </xf>
    <xf numFmtId="171" fontId="7" fillId="4" borderId="5" xfId="0" applyFont="1" applyFill="1" applyBorder="1"/>
    <xf numFmtId="171" fontId="7" fillId="4" borderId="1" xfId="0" applyFont="1" applyFill="1" applyBorder="1"/>
    <xf numFmtId="169" fontId="7" fillId="4" borderId="1" xfId="0" applyNumberFormat="1" applyFont="1" applyFill="1" applyBorder="1"/>
    <xf numFmtId="171" fontId="15" fillId="4" borderId="1" xfId="0" applyFont="1" applyFill="1" applyBorder="1"/>
    <xf numFmtId="166" fontId="7" fillId="4" borderId="1" xfId="1" applyNumberFormat="1" applyFont="1" applyFill="1" applyBorder="1"/>
    <xf numFmtId="166" fontId="9" fillId="4" borderId="4" xfId="1" applyNumberFormat="1" applyFont="1" applyFill="1" applyBorder="1"/>
    <xf numFmtId="171" fontId="4" fillId="4" borderId="0" xfId="0" applyFont="1" applyFill="1"/>
    <xf numFmtId="6" fontId="7" fillId="4" borderId="0" xfId="0" applyNumberFormat="1" applyFont="1" applyFill="1"/>
    <xf numFmtId="166" fontId="17" fillId="4" borderId="4" xfId="1" applyNumberFormat="1" applyFont="1" applyFill="1" applyBorder="1"/>
    <xf numFmtId="8" fontId="17" fillId="4" borderId="4" xfId="0" applyNumberFormat="1" applyFont="1" applyFill="1" applyBorder="1"/>
    <xf numFmtId="166" fontId="18" fillId="4" borderId="4" xfId="1" applyNumberFormat="1" applyFont="1" applyFill="1" applyBorder="1"/>
    <xf numFmtId="171" fontId="19" fillId="0" borderId="0" xfId="2" applyFont="1" applyAlignment="1" applyProtection="1"/>
    <xf numFmtId="171" fontId="19" fillId="4" borderId="0" xfId="2" applyFont="1" applyFill="1" applyAlignment="1" applyProtection="1"/>
    <xf numFmtId="171" fontId="20" fillId="4" borderId="0" xfId="2" applyFont="1" applyFill="1" applyAlignment="1" applyProtection="1"/>
    <xf numFmtId="6" fontId="17" fillId="4" borderId="4" xfId="0" applyNumberFormat="1" applyFont="1" applyFill="1" applyBorder="1"/>
    <xf numFmtId="3" fontId="7" fillId="4" borderId="0" xfId="0" applyNumberFormat="1" applyFont="1" applyFill="1"/>
    <xf numFmtId="171" fontId="19" fillId="4" borderId="1" xfId="2" applyFont="1" applyFill="1" applyBorder="1" applyAlignment="1" applyProtection="1"/>
    <xf numFmtId="171" fontId="21" fillId="4" borderId="0" xfId="2" applyFont="1" applyFill="1" applyAlignment="1" applyProtection="1"/>
    <xf numFmtId="171" fontId="7" fillId="4" borderId="7" xfId="0" applyFont="1" applyFill="1" applyBorder="1"/>
    <xf numFmtId="171" fontId="7" fillId="4" borderId="2" xfId="0" applyFont="1" applyFill="1" applyBorder="1"/>
    <xf numFmtId="169" fontId="7" fillId="4" borderId="2" xfId="0" applyNumberFormat="1" applyFont="1" applyFill="1" applyBorder="1"/>
    <xf numFmtId="166" fontId="7" fillId="4" borderId="2" xfId="1" applyNumberFormat="1" applyFont="1" applyFill="1" applyBorder="1"/>
    <xf numFmtId="171" fontId="2" fillId="4" borderId="0" xfId="2" applyFill="1" applyAlignment="1" applyProtection="1"/>
    <xf numFmtId="171" fontId="7" fillId="5" borderId="0" xfId="0" applyFont="1" applyFill="1"/>
    <xf numFmtId="169" fontId="7" fillId="5" borderId="0" xfId="0" applyNumberFormat="1" applyFont="1" applyFill="1"/>
    <xf numFmtId="171" fontId="19" fillId="5" borderId="0" xfId="2" applyFont="1" applyFill="1" applyAlignment="1" applyProtection="1"/>
    <xf numFmtId="166" fontId="7" fillId="5" borderId="0" xfId="1" applyNumberFormat="1" applyFont="1" applyFill="1"/>
    <xf numFmtId="166" fontId="7" fillId="5" borderId="4" xfId="1" applyNumberFormat="1" applyFont="1" applyFill="1" applyBorder="1"/>
    <xf numFmtId="171" fontId="2" fillId="5" borderId="0" xfId="2" applyFill="1" applyAlignment="1" applyProtection="1"/>
    <xf numFmtId="171" fontId="7" fillId="6" borderId="0" xfId="0" applyFont="1" applyFill="1"/>
    <xf numFmtId="169" fontId="7" fillId="6" borderId="0" xfId="0" applyNumberFormat="1" applyFont="1" applyFill="1"/>
    <xf numFmtId="171" fontId="19" fillId="6" borderId="0" xfId="2" applyFont="1" applyFill="1" applyAlignment="1" applyProtection="1"/>
    <xf numFmtId="166" fontId="7" fillId="6" borderId="0" xfId="1" applyNumberFormat="1" applyFont="1" applyFill="1"/>
    <xf numFmtId="166" fontId="7" fillId="6" borderId="4" xfId="1" applyNumberFormat="1" applyFont="1" applyFill="1" applyBorder="1"/>
    <xf numFmtId="44" fontId="6" fillId="5" borderId="4" xfId="1" applyFont="1" applyFill="1" applyBorder="1"/>
    <xf numFmtId="171" fontId="20" fillId="0" borderId="0" xfId="2" applyFont="1" applyAlignment="1" applyProtection="1"/>
    <xf numFmtId="171" fontId="6" fillId="0" borderId="0" xfId="0" applyFont="1" applyAlignment="1">
      <alignment horizontal="left"/>
    </xf>
    <xf numFmtId="165" fontId="7" fillId="4" borderId="4" xfId="1" applyNumberFormat="1" applyFont="1" applyFill="1" applyBorder="1" applyAlignment="1">
      <alignment horizontal="left"/>
    </xf>
    <xf numFmtId="171" fontId="22" fillId="4" borderId="0" xfId="0" applyFont="1" applyFill="1"/>
    <xf numFmtId="166" fontId="7" fillId="4" borderId="4" xfId="1" applyNumberFormat="1" applyFont="1" applyFill="1" applyBorder="1" applyAlignment="1">
      <alignment horizontal="left"/>
    </xf>
    <xf numFmtId="14" fontId="7" fillId="4" borderId="0" xfId="0" applyNumberFormat="1" applyFont="1" applyFill="1"/>
    <xf numFmtId="44" fontId="7" fillId="4" borderId="0" xfId="0" applyNumberFormat="1" applyFont="1" applyFill="1"/>
    <xf numFmtId="171" fontId="0" fillId="3" borderId="0" xfId="0" applyFill="1"/>
    <xf numFmtId="171" fontId="3" fillId="3" borderId="0" xfId="0" applyFont="1" applyFill="1"/>
    <xf numFmtId="171" fontId="0" fillId="2" borderId="0" xfId="0" applyFill="1"/>
    <xf numFmtId="171" fontId="3" fillId="2" borderId="0" xfId="0" applyFont="1" applyFill="1"/>
    <xf numFmtId="16" fontId="7" fillId="4" borderId="0" xfId="0" applyNumberFormat="1" applyFont="1" applyFill="1"/>
    <xf numFmtId="165" fontId="7" fillId="0" borderId="4" xfId="1" applyNumberFormat="1" applyFont="1" applyBorder="1" applyAlignment="1">
      <alignment horizontal="left"/>
    </xf>
    <xf numFmtId="14" fontId="7" fillId="0" borderId="0" xfId="0" applyNumberFormat="1" applyFont="1"/>
    <xf numFmtId="165" fontId="7" fillId="4" borderId="4" xfId="1" applyNumberFormat="1" applyFont="1" applyFill="1" applyBorder="1"/>
    <xf numFmtId="165" fontId="9" fillId="4" borderId="4" xfId="1" applyNumberFormat="1" applyFont="1" applyFill="1" applyBorder="1"/>
    <xf numFmtId="15" fontId="7" fillId="4" borderId="0" xfId="0" applyNumberFormat="1" applyFont="1" applyFill="1"/>
    <xf numFmtId="171" fontId="6" fillId="4" borderId="0" xfId="0" applyFont="1" applyFill="1"/>
    <xf numFmtId="166" fontId="3" fillId="4" borderId="0" xfId="0" applyNumberFormat="1" applyFont="1" applyFill="1"/>
    <xf numFmtId="1" fontId="0" fillId="0" borderId="0" xfId="0" applyNumberFormat="1"/>
    <xf numFmtId="165" fontId="7" fillId="6" borderId="4" xfId="1" applyNumberFormat="1" applyFont="1" applyFill="1" applyBorder="1" applyAlignment="1">
      <alignment horizontal="left"/>
    </xf>
    <xf numFmtId="14" fontId="7" fillId="6" borderId="0" xfId="0" applyNumberFormat="1" applyFont="1" applyFill="1"/>
    <xf numFmtId="171" fontId="7" fillId="6" borderId="3" xfId="0" applyFont="1" applyFill="1" applyBorder="1"/>
    <xf numFmtId="171" fontId="15" fillId="6" borderId="0" xfId="0" applyFont="1" applyFill="1"/>
    <xf numFmtId="165" fontId="7" fillId="6" borderId="4" xfId="1" applyNumberFormat="1" applyFont="1" applyFill="1" applyBorder="1"/>
    <xf numFmtId="1" fontId="3" fillId="0" borderId="0" xfId="0" applyNumberFormat="1" applyFont="1"/>
    <xf numFmtId="171" fontId="25" fillId="4" borderId="0" xfId="0" applyFont="1" applyFill="1"/>
    <xf numFmtId="165" fontId="7" fillId="4" borderId="0" xfId="0" applyNumberFormat="1" applyFont="1" applyFill="1"/>
    <xf numFmtId="16" fontId="7" fillId="6" borderId="0" xfId="0" applyNumberFormat="1" applyFont="1" applyFill="1"/>
    <xf numFmtId="171" fontId="7" fillId="7" borderId="0" xfId="0" applyFont="1" applyFill="1"/>
    <xf numFmtId="169" fontId="7" fillId="7" borderId="0" xfId="0" applyNumberFormat="1" applyFont="1" applyFill="1"/>
    <xf numFmtId="166" fontId="7" fillId="7" borderId="0" xfId="1" applyNumberFormat="1" applyFont="1" applyFill="1"/>
    <xf numFmtId="165" fontId="7" fillId="7" borderId="4" xfId="1" applyNumberFormat="1" applyFont="1" applyFill="1" applyBorder="1" applyAlignment="1">
      <alignment horizontal="left"/>
    </xf>
    <xf numFmtId="14" fontId="7" fillId="7" borderId="0" xfId="0" applyNumberFormat="1" applyFont="1" applyFill="1"/>
    <xf numFmtId="171" fontId="20" fillId="5" borderId="0" xfId="2" applyFont="1" applyFill="1" applyAlignment="1" applyProtection="1"/>
    <xf numFmtId="171" fontId="20" fillId="7" borderId="0" xfId="2" applyFont="1" applyFill="1" applyAlignment="1" applyProtection="1"/>
    <xf numFmtId="171" fontId="26" fillId="4" borderId="0" xfId="2" applyFont="1" applyFill="1" applyAlignment="1" applyProtection="1"/>
    <xf numFmtId="171" fontId="26" fillId="6" borderId="0" xfId="2" applyFont="1" applyFill="1" applyAlignment="1" applyProtection="1"/>
    <xf numFmtId="171" fontId="7" fillId="5" borderId="3" xfId="0" applyFont="1" applyFill="1" applyBorder="1"/>
    <xf numFmtId="171" fontId="19" fillId="4" borderId="2" xfId="2" applyFont="1" applyFill="1" applyBorder="1" applyAlignment="1" applyProtection="1"/>
    <xf numFmtId="165" fontId="7" fillId="4" borderId="8" xfId="1" applyNumberFormat="1" applyFont="1" applyFill="1" applyBorder="1" applyAlignment="1">
      <alignment horizontal="left"/>
    </xf>
    <xf numFmtId="166" fontId="17" fillId="4" borderId="6" xfId="1" applyNumberFormat="1" applyFont="1" applyFill="1" applyBorder="1"/>
    <xf numFmtId="171" fontId="7" fillId="10" borderId="0" xfId="0" applyFont="1" applyFill="1"/>
    <xf numFmtId="169" fontId="7" fillId="10" borderId="0" xfId="0" applyNumberFormat="1" applyFont="1" applyFill="1"/>
    <xf numFmtId="171" fontId="26" fillId="10" borderId="0" xfId="2" applyFont="1" applyFill="1" applyAlignment="1" applyProtection="1"/>
    <xf numFmtId="166" fontId="7" fillId="10" borderId="0" xfId="1" applyNumberFormat="1" applyFont="1" applyFill="1"/>
    <xf numFmtId="165" fontId="7" fillId="10" borderId="4" xfId="1" applyNumberFormat="1" applyFont="1" applyFill="1" applyBorder="1" applyAlignment="1">
      <alignment horizontal="left"/>
    </xf>
    <xf numFmtId="14" fontId="7" fillId="10" borderId="0" xfId="0" applyNumberFormat="1" applyFont="1" applyFill="1"/>
    <xf numFmtId="171" fontId="2" fillId="10" borderId="0" xfId="2" applyFill="1" applyAlignment="1" applyProtection="1"/>
    <xf numFmtId="171" fontId="27" fillId="0" borderId="0" xfId="0" applyFont="1" applyAlignment="1">
      <alignment vertical="center"/>
    </xf>
    <xf numFmtId="171" fontId="2" fillId="0" borderId="0" xfId="2" applyAlignment="1" applyProtection="1">
      <alignment vertical="center"/>
    </xf>
    <xf numFmtId="3" fontId="7" fillId="10" borderId="0" xfId="0" applyNumberFormat="1" applyFont="1" applyFill="1"/>
    <xf numFmtId="171" fontId="2" fillId="12" borderId="0" xfId="2" applyFill="1" applyAlignment="1" applyProtection="1"/>
    <xf numFmtId="165" fontId="7" fillId="0" borderId="0" xfId="1" applyNumberFormat="1" applyFont="1" applyAlignment="1">
      <alignment horizontal="left"/>
    </xf>
    <xf numFmtId="171" fontId="2" fillId="13" borderId="0" xfId="2" applyFill="1" applyAlignment="1" applyProtection="1"/>
    <xf numFmtId="171" fontId="19" fillId="10" borderId="0" xfId="2" applyFont="1" applyFill="1" applyAlignment="1" applyProtection="1"/>
    <xf numFmtId="165" fontId="7" fillId="10" borderId="0" xfId="1" applyNumberFormat="1" applyFont="1" applyFill="1" applyAlignment="1">
      <alignment horizontal="left"/>
    </xf>
    <xf numFmtId="171" fontId="20" fillId="4" borderId="2" xfId="2" applyFont="1" applyFill="1" applyBorder="1" applyAlignment="1" applyProtection="1"/>
    <xf numFmtId="171" fontId="2" fillId="10" borderId="2" xfId="2" applyFill="1" applyBorder="1" applyAlignment="1" applyProtection="1"/>
    <xf numFmtId="1" fontId="7" fillId="0" borderId="0" xfId="0" applyNumberFormat="1" applyFont="1"/>
    <xf numFmtId="1" fontId="6" fillId="0" borderId="0" xfId="0" applyNumberFormat="1" applyFont="1"/>
    <xf numFmtId="171" fontId="29" fillId="0" borderId="0" xfId="0" applyFont="1"/>
    <xf numFmtId="171" fontId="30" fillId="0" borderId="0" xfId="0" applyFont="1" applyAlignment="1">
      <alignment vertical="center"/>
    </xf>
    <xf numFmtId="171" fontId="31" fillId="0" borderId="0" xfId="0" applyFont="1"/>
    <xf numFmtId="169" fontId="31" fillId="0" borderId="0" xfId="0" applyNumberFormat="1" applyFont="1"/>
    <xf numFmtId="1" fontId="31" fillId="0" borderId="0" xfId="0" applyNumberFormat="1" applyFont="1"/>
    <xf numFmtId="171" fontId="32" fillId="0" borderId="0" xfId="0" applyFont="1"/>
    <xf numFmtId="1" fontId="32" fillId="0" borderId="0" xfId="0" applyNumberFormat="1" applyFont="1"/>
    <xf numFmtId="171" fontId="33" fillId="0" borderId="0" xfId="0" applyFont="1"/>
    <xf numFmtId="171" fontId="32" fillId="4" borderId="3" xfId="0" applyFont="1" applyFill="1" applyBorder="1"/>
    <xf numFmtId="171" fontId="32" fillId="4" borderId="0" xfId="0" applyFont="1" applyFill="1"/>
    <xf numFmtId="169" fontId="32" fillId="4" borderId="0" xfId="0" applyNumberFormat="1" applyFont="1" applyFill="1"/>
    <xf numFmtId="1" fontId="32" fillId="4" borderId="0" xfId="0" applyNumberFormat="1" applyFont="1" applyFill="1"/>
    <xf numFmtId="171" fontId="34" fillId="4" borderId="0" xfId="0" applyFont="1" applyFill="1"/>
    <xf numFmtId="171" fontId="35" fillId="4" borderId="0" xfId="2" applyFont="1" applyFill="1" applyAlignment="1" applyProtection="1"/>
    <xf numFmtId="166" fontId="32" fillId="4" borderId="0" xfId="1" applyNumberFormat="1" applyFont="1" applyFill="1"/>
    <xf numFmtId="166" fontId="32" fillId="4" borderId="4" xfId="1" applyNumberFormat="1" applyFont="1" applyFill="1" applyBorder="1"/>
    <xf numFmtId="166" fontId="36" fillId="4" borderId="4" xfId="1" applyNumberFormat="1" applyFont="1" applyFill="1" applyBorder="1"/>
    <xf numFmtId="171" fontId="37" fillId="4" borderId="0" xfId="2" applyFont="1" applyFill="1" applyAlignment="1" applyProtection="1"/>
    <xf numFmtId="171" fontId="32" fillId="4" borderId="0" xfId="0" applyFont="1" applyFill="1" applyAlignment="1">
      <alignment wrapText="1"/>
    </xf>
    <xf numFmtId="171" fontId="32" fillId="0" borderId="3" xfId="0" applyFont="1" applyBorder="1"/>
    <xf numFmtId="169" fontId="32" fillId="0" borderId="0" xfId="0" applyNumberFormat="1" applyFont="1"/>
    <xf numFmtId="171" fontId="38" fillId="0" borderId="0" xfId="0" applyFont="1"/>
    <xf numFmtId="171" fontId="35" fillId="0" borderId="0" xfId="2" applyFont="1" applyAlignment="1" applyProtection="1"/>
    <xf numFmtId="166" fontId="32" fillId="0" borderId="0" xfId="1" applyNumberFormat="1" applyFont="1"/>
    <xf numFmtId="166" fontId="32" fillId="0" borderId="4" xfId="1" applyNumberFormat="1" applyFont="1" applyBorder="1"/>
    <xf numFmtId="171" fontId="31" fillId="0" borderId="5" xfId="0" applyFont="1" applyBorder="1"/>
    <xf numFmtId="171" fontId="31" fillId="0" borderId="7" xfId="0" applyFont="1" applyBorder="1"/>
    <xf numFmtId="166" fontId="31" fillId="0" borderId="0" xfId="0" applyNumberFormat="1" applyFont="1"/>
    <xf numFmtId="166" fontId="31" fillId="4" borderId="0" xfId="0" applyNumberFormat="1" applyFont="1" applyFill="1"/>
    <xf numFmtId="171" fontId="31" fillId="0" borderId="2" xfId="0" applyFont="1" applyBorder="1"/>
    <xf numFmtId="1" fontId="31" fillId="0" borderId="2" xfId="0" applyNumberFormat="1" applyFont="1" applyBorder="1"/>
    <xf numFmtId="171" fontId="32" fillId="0" borderId="2" xfId="0" applyFont="1" applyBorder="1"/>
    <xf numFmtId="1" fontId="32" fillId="0" borderId="2" xfId="0" applyNumberFormat="1" applyFont="1" applyBorder="1"/>
    <xf numFmtId="171" fontId="32" fillId="4" borderId="5" xfId="0" applyFont="1" applyFill="1" applyBorder="1"/>
    <xf numFmtId="171" fontId="32" fillId="4" borderId="1" xfId="0" applyFont="1" applyFill="1" applyBorder="1"/>
    <xf numFmtId="169" fontId="32" fillId="4" borderId="1" xfId="0" applyNumberFormat="1" applyFont="1" applyFill="1" applyBorder="1"/>
    <xf numFmtId="1" fontId="32" fillId="4" borderId="1" xfId="0" applyNumberFormat="1" applyFont="1" applyFill="1" applyBorder="1"/>
    <xf numFmtId="171" fontId="35" fillId="4" borderId="1" xfId="2" applyFont="1" applyFill="1" applyBorder="1" applyAlignment="1" applyProtection="1"/>
    <xf numFmtId="166" fontId="32" fillId="4" borderId="1" xfId="1" applyNumberFormat="1" applyFont="1" applyFill="1" applyBorder="1"/>
    <xf numFmtId="171" fontId="39" fillId="4" borderId="0" xfId="0" applyFont="1" applyFill="1"/>
    <xf numFmtId="166" fontId="40" fillId="4" borderId="4" xfId="1" applyNumberFormat="1" applyFont="1" applyFill="1" applyBorder="1"/>
    <xf numFmtId="171" fontId="41" fillId="4" borderId="0" xfId="0" applyFont="1" applyFill="1"/>
    <xf numFmtId="171" fontId="42" fillId="4" borderId="3" xfId="0" applyFont="1" applyFill="1" applyBorder="1"/>
    <xf numFmtId="171" fontId="42" fillId="4" borderId="0" xfId="0" applyFont="1" applyFill="1"/>
    <xf numFmtId="169" fontId="42" fillId="4" borderId="0" xfId="0" applyNumberFormat="1" applyFont="1" applyFill="1"/>
    <xf numFmtId="1" fontId="42" fillId="4" borderId="0" xfId="0" applyNumberFormat="1" applyFont="1" applyFill="1"/>
    <xf numFmtId="171" fontId="43" fillId="4" borderId="0" xfId="0" applyFont="1" applyFill="1"/>
    <xf numFmtId="171" fontId="44" fillId="4" borderId="0" xfId="2" applyFont="1" applyFill="1" applyAlignment="1" applyProtection="1"/>
    <xf numFmtId="166" fontId="42" fillId="4" borderId="0" xfId="1" applyNumberFormat="1" applyFont="1" applyFill="1"/>
    <xf numFmtId="171" fontId="32" fillId="0" borderId="6" xfId="0" applyFont="1" applyBorder="1"/>
    <xf numFmtId="171" fontId="32" fillId="0" borderId="3" xfId="0" applyFont="1" applyBorder="1" applyAlignment="1">
      <alignment horizontal="left"/>
    </xf>
    <xf numFmtId="171" fontId="32" fillId="0" borderId="4" xfId="0" applyFont="1" applyBorder="1"/>
    <xf numFmtId="171" fontId="31" fillId="0" borderId="4" xfId="0" applyFont="1" applyBorder="1"/>
    <xf numFmtId="171" fontId="31" fillId="0" borderId="3" xfId="0" applyFont="1" applyBorder="1"/>
    <xf numFmtId="20" fontId="31" fillId="0" borderId="0" xfId="0" applyNumberFormat="1" applyFont="1"/>
    <xf numFmtId="171" fontId="32" fillId="0" borderId="7" xfId="0" applyFont="1" applyBorder="1" applyAlignment="1">
      <alignment horizontal="left"/>
    </xf>
    <xf numFmtId="171" fontId="32" fillId="0" borderId="8" xfId="0" applyFont="1" applyBorder="1"/>
    <xf numFmtId="169" fontId="31" fillId="0" borderId="7" xfId="0" applyNumberFormat="1" applyFont="1" applyBorder="1"/>
    <xf numFmtId="171" fontId="31" fillId="3" borderId="8" xfId="0" applyFont="1" applyFill="1" applyBorder="1"/>
    <xf numFmtId="171" fontId="31" fillId="0" borderId="8" xfId="0" applyFont="1" applyBorder="1"/>
    <xf numFmtId="171" fontId="41" fillId="0" borderId="0" xfId="0" applyFont="1"/>
    <xf numFmtId="171" fontId="33" fillId="0" borderId="5" xfId="0" applyFont="1" applyBorder="1"/>
    <xf numFmtId="171" fontId="32" fillId="0" borderId="1" xfId="0" applyFont="1" applyBorder="1"/>
    <xf numFmtId="169" fontId="32" fillId="0" borderId="1" xfId="0" applyNumberFormat="1" applyFont="1" applyBorder="1"/>
    <xf numFmtId="1" fontId="32" fillId="0" borderId="1" xfId="0" applyNumberFormat="1" applyFont="1" applyBorder="1"/>
    <xf numFmtId="171" fontId="41" fillId="0" borderId="1" xfId="0" applyFont="1" applyBorder="1"/>
    <xf numFmtId="166" fontId="32" fillId="0" borderId="1" xfId="1" applyNumberFormat="1" applyFont="1" applyBorder="1"/>
    <xf numFmtId="166" fontId="32" fillId="0" borderId="6" xfId="1" applyNumberFormat="1" applyFont="1" applyBorder="1"/>
    <xf numFmtId="166" fontId="45" fillId="4" borderId="4" xfId="1" applyNumberFormat="1" applyFont="1" applyFill="1" applyBorder="1"/>
    <xf numFmtId="166" fontId="46" fillId="4" borderId="4" xfId="1" applyNumberFormat="1" applyFont="1" applyFill="1" applyBorder="1"/>
    <xf numFmtId="6" fontId="32" fillId="4" borderId="0" xfId="0" applyNumberFormat="1" applyFont="1" applyFill="1"/>
    <xf numFmtId="8" fontId="45" fillId="4" borderId="4" xfId="0" applyNumberFormat="1" applyFont="1" applyFill="1" applyBorder="1"/>
    <xf numFmtId="3" fontId="32" fillId="4" borderId="0" xfId="0" applyNumberFormat="1" applyFont="1" applyFill="1"/>
    <xf numFmtId="171" fontId="32" fillId="4" borderId="7" xfId="0" applyFont="1" applyFill="1" applyBorder="1"/>
    <xf numFmtId="171" fontId="32" fillId="4" borderId="2" xfId="0" applyFont="1" applyFill="1" applyBorder="1"/>
    <xf numFmtId="169" fontId="32" fillId="4" borderId="2" xfId="0" applyNumberFormat="1" applyFont="1" applyFill="1" applyBorder="1"/>
    <xf numFmtId="1" fontId="32" fillId="4" borderId="2" xfId="0" applyNumberFormat="1" applyFont="1" applyFill="1" applyBorder="1"/>
    <xf numFmtId="171" fontId="35" fillId="4" borderId="2" xfId="2" applyFont="1" applyFill="1" applyBorder="1" applyAlignment="1" applyProtection="1"/>
    <xf numFmtId="166" fontId="32" fillId="4" borderId="2" xfId="1" applyNumberFormat="1" applyFont="1" applyFill="1" applyBorder="1"/>
    <xf numFmtId="166" fontId="32" fillId="0" borderId="0" xfId="0" applyNumberFormat="1" applyFont="1"/>
    <xf numFmtId="44" fontId="41" fillId="0" borderId="0" xfId="1" applyFont="1"/>
    <xf numFmtId="1" fontId="47" fillId="0" borderId="0" xfId="0" applyNumberFormat="1" applyFont="1"/>
    <xf numFmtId="8" fontId="31" fillId="0" borderId="0" xfId="0" applyNumberFormat="1" applyFont="1"/>
    <xf numFmtId="166" fontId="31" fillId="0" borderId="6" xfId="0" applyNumberFormat="1" applyFont="1" applyBorder="1"/>
    <xf numFmtId="166" fontId="31" fillId="0" borderId="8" xfId="0" applyNumberFormat="1" applyFont="1" applyBorder="1"/>
    <xf numFmtId="171" fontId="32" fillId="5" borderId="0" xfId="0" applyFont="1" applyFill="1"/>
    <xf numFmtId="169" fontId="32" fillId="5" borderId="0" xfId="0" applyNumberFormat="1" applyFont="1" applyFill="1"/>
    <xf numFmtId="1" fontId="32" fillId="5" borderId="0" xfId="0" applyNumberFormat="1" applyFont="1" applyFill="1"/>
    <xf numFmtId="171" fontId="35" fillId="5" borderId="0" xfId="2" applyFont="1" applyFill="1" applyAlignment="1" applyProtection="1"/>
    <xf numFmtId="166" fontId="32" fillId="5" borderId="0" xfId="1" applyNumberFormat="1" applyFont="1" applyFill="1"/>
    <xf numFmtId="166" fontId="32" fillId="5" borderId="4" xfId="1" applyNumberFormat="1" applyFont="1" applyFill="1" applyBorder="1"/>
    <xf numFmtId="171" fontId="32" fillId="6" borderId="0" xfId="0" applyFont="1" applyFill="1"/>
    <xf numFmtId="169" fontId="32" fillId="6" borderId="0" xfId="0" applyNumberFormat="1" applyFont="1" applyFill="1"/>
    <xf numFmtId="1" fontId="32" fillId="6" borderId="0" xfId="0" applyNumberFormat="1" applyFont="1" applyFill="1"/>
    <xf numFmtId="171" fontId="35" fillId="6" borderId="0" xfId="2" applyFont="1" applyFill="1" applyAlignment="1" applyProtection="1"/>
    <xf numFmtId="166" fontId="32" fillId="6" borderId="0" xfId="1" applyNumberFormat="1" applyFont="1" applyFill="1"/>
    <xf numFmtId="166" fontId="32" fillId="6" borderId="4" xfId="1" applyNumberFormat="1" applyFont="1" applyFill="1" applyBorder="1"/>
    <xf numFmtId="44" fontId="31" fillId="5" borderId="4" xfId="1" applyFont="1" applyFill="1" applyBorder="1"/>
    <xf numFmtId="171" fontId="37" fillId="5" borderId="0" xfId="2" applyFont="1" applyFill="1" applyAlignment="1" applyProtection="1"/>
    <xf numFmtId="10" fontId="32" fillId="0" borderId="0" xfId="0" applyNumberFormat="1" applyFont="1"/>
    <xf numFmtId="171" fontId="41" fillId="0" borderId="6" xfId="0" applyFont="1" applyBorder="1"/>
    <xf numFmtId="171" fontId="31" fillId="0" borderId="0" xfId="0" applyFont="1" applyAlignment="1">
      <alignment horizontal="left"/>
    </xf>
    <xf numFmtId="165" fontId="32" fillId="4" borderId="4" xfId="1" applyNumberFormat="1" applyFont="1" applyFill="1" applyBorder="1" applyAlignment="1">
      <alignment horizontal="left"/>
    </xf>
    <xf numFmtId="44" fontId="32" fillId="4" borderId="0" xfId="0" applyNumberFormat="1" applyFont="1" applyFill="1"/>
    <xf numFmtId="14" fontId="32" fillId="4" borderId="0" xfId="0" applyNumberFormat="1" applyFont="1" applyFill="1"/>
    <xf numFmtId="166" fontId="32" fillId="4" borderId="4" xfId="1" applyNumberFormat="1" applyFont="1" applyFill="1" applyBorder="1" applyAlignment="1">
      <alignment horizontal="left"/>
    </xf>
    <xf numFmtId="16" fontId="32" fillId="4" borderId="0" xfId="0" applyNumberFormat="1" applyFont="1" applyFill="1"/>
    <xf numFmtId="171" fontId="48" fillId="4" borderId="0" xfId="0" applyFont="1" applyFill="1"/>
    <xf numFmtId="171" fontId="31" fillId="4" borderId="0" xfId="0" applyFont="1" applyFill="1"/>
    <xf numFmtId="165" fontId="32" fillId="4" borderId="4" xfId="1" applyNumberFormat="1" applyFont="1" applyFill="1" applyBorder="1"/>
    <xf numFmtId="165" fontId="40" fillId="4" borderId="4" xfId="1" applyNumberFormat="1" applyFont="1" applyFill="1" applyBorder="1"/>
    <xf numFmtId="171" fontId="32" fillId="6" borderId="3" xfId="0" applyFont="1" applyFill="1" applyBorder="1"/>
    <xf numFmtId="171" fontId="39" fillId="6" borderId="0" xfId="0" applyFont="1" applyFill="1"/>
    <xf numFmtId="165" fontId="32" fillId="6" borderId="4" xfId="1" applyNumberFormat="1" applyFont="1" applyFill="1" applyBorder="1"/>
    <xf numFmtId="14" fontId="32" fillId="6" borderId="0" xfId="0" applyNumberFormat="1" applyFont="1" applyFill="1"/>
    <xf numFmtId="166" fontId="31" fillId="0" borderId="0" xfId="0" applyNumberFormat="1" applyFont="1" applyAlignment="1">
      <alignment horizontal="left"/>
    </xf>
    <xf numFmtId="170" fontId="31" fillId="0" borderId="0" xfId="0" applyNumberFormat="1" applyFont="1"/>
    <xf numFmtId="15" fontId="32" fillId="4" borderId="0" xfId="0" applyNumberFormat="1" applyFont="1" applyFill="1"/>
    <xf numFmtId="165" fontId="32" fillId="6" borderId="4" xfId="1" applyNumberFormat="1" applyFont="1" applyFill="1" applyBorder="1" applyAlignment="1">
      <alignment horizontal="left"/>
    </xf>
    <xf numFmtId="171" fontId="49" fillId="4" borderId="0" xfId="2" applyFont="1" applyFill="1" applyAlignment="1" applyProtection="1"/>
    <xf numFmtId="171" fontId="50" fillId="4" borderId="0" xfId="0" applyFont="1" applyFill="1"/>
    <xf numFmtId="165" fontId="32" fillId="4" borderId="0" xfId="0" applyNumberFormat="1" applyFont="1" applyFill="1"/>
    <xf numFmtId="16" fontId="32" fillId="6" borderId="0" xfId="0" applyNumberFormat="1" applyFont="1" applyFill="1"/>
    <xf numFmtId="171" fontId="41" fillId="0" borderId="0" xfId="0" applyFont="1" applyAlignment="1">
      <alignment horizontal="left" indent="2"/>
    </xf>
    <xf numFmtId="165" fontId="32" fillId="0" borderId="4" xfId="1" applyNumberFormat="1" applyFont="1" applyBorder="1" applyAlignment="1">
      <alignment horizontal="left"/>
    </xf>
    <xf numFmtId="171" fontId="51" fillId="0" borderId="0" xfId="0" applyFont="1"/>
    <xf numFmtId="166" fontId="32" fillId="0" borderId="4" xfId="1" applyNumberFormat="1" applyFont="1" applyBorder="1" applyAlignment="1">
      <alignment horizontal="left"/>
    </xf>
    <xf numFmtId="16" fontId="32" fillId="0" borderId="0" xfId="0" applyNumberFormat="1" applyFont="1"/>
    <xf numFmtId="171" fontId="48" fillId="0" borderId="0" xfId="0" applyFont="1"/>
    <xf numFmtId="14" fontId="32" fillId="0" borderId="0" xfId="0" applyNumberFormat="1" applyFont="1"/>
    <xf numFmtId="171" fontId="49" fillId="0" borderId="0" xfId="2" applyFont="1" applyAlignment="1" applyProtection="1"/>
    <xf numFmtId="171" fontId="39" fillId="0" borderId="0" xfId="0" applyFont="1"/>
    <xf numFmtId="166" fontId="40" fillId="0" borderId="4" xfId="1" applyNumberFormat="1" applyFont="1" applyBorder="1"/>
    <xf numFmtId="171" fontId="37" fillId="0" borderId="0" xfId="2" applyFont="1" applyAlignment="1" applyProtection="1"/>
    <xf numFmtId="44" fontId="31" fillId="0" borderId="4" xfId="1" applyFont="1" applyBorder="1" applyAlignment="1">
      <alignment horizontal="left"/>
    </xf>
    <xf numFmtId="165" fontId="32" fillId="0" borderId="0" xfId="0" applyNumberFormat="1" applyFont="1"/>
    <xf numFmtId="15" fontId="32" fillId="0" borderId="0" xfId="0" applyNumberFormat="1" applyFont="1"/>
    <xf numFmtId="171" fontId="32" fillId="7" borderId="0" xfId="0" applyFont="1" applyFill="1"/>
    <xf numFmtId="169" fontId="32" fillId="7" borderId="0" xfId="0" applyNumberFormat="1" applyFont="1" applyFill="1"/>
    <xf numFmtId="1" fontId="32" fillId="7" borderId="0" xfId="0" applyNumberFormat="1" applyFont="1" applyFill="1"/>
    <xf numFmtId="171" fontId="37" fillId="7" borderId="0" xfId="2" applyFont="1" applyFill="1" applyAlignment="1" applyProtection="1"/>
    <xf numFmtId="166" fontId="32" fillId="7" borderId="0" xfId="1" applyNumberFormat="1" applyFont="1" applyFill="1"/>
    <xf numFmtId="14" fontId="32" fillId="7" borderId="0" xfId="0" applyNumberFormat="1" applyFont="1" applyFill="1"/>
    <xf numFmtId="171" fontId="50" fillId="0" borderId="0" xfId="0" applyFont="1"/>
    <xf numFmtId="44" fontId="32" fillId="0" borderId="4" xfId="1" applyFont="1" applyBorder="1" applyAlignment="1">
      <alignment horizontal="left"/>
    </xf>
    <xf numFmtId="171" fontId="32" fillId="0" borderId="7" xfId="0" applyFont="1" applyBorder="1"/>
    <xf numFmtId="169" fontId="32" fillId="0" borderId="2" xfId="0" applyNumberFormat="1" applyFont="1" applyBorder="1"/>
    <xf numFmtId="171" fontId="52" fillId="4" borderId="0" xfId="2" applyFont="1" applyFill="1" applyAlignment="1" applyProtection="1"/>
    <xf numFmtId="171" fontId="32" fillId="8" borderId="0" xfId="0" applyFont="1" applyFill="1"/>
    <xf numFmtId="169" fontId="32" fillId="8" borderId="0" xfId="0" applyNumberFormat="1" applyFont="1" applyFill="1"/>
    <xf numFmtId="1" fontId="32" fillId="8" borderId="0" xfId="0" applyNumberFormat="1" applyFont="1" applyFill="1"/>
    <xf numFmtId="171" fontId="49" fillId="8" borderId="0" xfId="2" applyFont="1" applyFill="1" applyAlignment="1" applyProtection="1"/>
    <xf numFmtId="166" fontId="32" fillId="8" borderId="0" xfId="1" applyNumberFormat="1" applyFont="1" applyFill="1"/>
    <xf numFmtId="165" fontId="32" fillId="8" borderId="4" xfId="1" applyNumberFormat="1" applyFont="1" applyFill="1" applyBorder="1" applyAlignment="1">
      <alignment horizontal="left"/>
    </xf>
    <xf numFmtId="14" fontId="32" fillId="8" borderId="0" xfId="0" applyNumberFormat="1" applyFont="1" applyFill="1"/>
    <xf numFmtId="10" fontId="32" fillId="0" borderId="0" xfId="5" applyNumberFormat="1" applyFont="1"/>
    <xf numFmtId="167" fontId="31" fillId="0" borderId="8" xfId="3" applyNumberFormat="1" applyFont="1" applyBorder="1" applyAlignment="1">
      <alignment horizontal="right"/>
    </xf>
    <xf numFmtId="171" fontId="32" fillId="10" borderId="0" xfId="0" applyFont="1" applyFill="1"/>
    <xf numFmtId="169" fontId="32" fillId="10" borderId="0" xfId="0" applyNumberFormat="1" applyFont="1" applyFill="1"/>
    <xf numFmtId="1" fontId="32" fillId="10" borderId="0" xfId="0" applyNumberFormat="1" applyFont="1" applyFill="1"/>
    <xf numFmtId="171" fontId="49" fillId="10" borderId="0" xfId="2" applyFont="1" applyFill="1" applyAlignment="1" applyProtection="1"/>
    <xf numFmtId="166" fontId="32" fillId="10" borderId="0" xfId="1" applyNumberFormat="1" applyFont="1" applyFill="1"/>
    <xf numFmtId="165" fontId="32" fillId="10" borderId="4" xfId="1" applyNumberFormat="1" applyFont="1" applyFill="1" applyBorder="1" applyAlignment="1">
      <alignment horizontal="left"/>
    </xf>
    <xf numFmtId="16" fontId="32" fillId="10" borderId="0" xfId="0" applyNumberFormat="1" applyFont="1" applyFill="1"/>
    <xf numFmtId="14" fontId="32" fillId="10" borderId="0" xfId="0" applyNumberFormat="1" applyFont="1" applyFill="1"/>
    <xf numFmtId="171" fontId="52" fillId="10" borderId="0" xfId="2" applyFont="1" applyFill="1" applyAlignment="1" applyProtection="1"/>
    <xf numFmtId="3" fontId="54" fillId="10" borderId="0" xfId="0" applyNumberFormat="1" applyFont="1" applyFill="1"/>
    <xf numFmtId="3" fontId="55" fillId="0" borderId="0" xfId="0" applyNumberFormat="1" applyFont="1"/>
    <xf numFmtId="171" fontId="32" fillId="13" borderId="0" xfId="0" applyFont="1" applyFill="1"/>
    <xf numFmtId="169" fontId="32" fillId="13" borderId="0" xfId="0" applyNumberFormat="1" applyFont="1" applyFill="1"/>
    <xf numFmtId="1" fontId="32" fillId="13" borderId="0" xfId="0" applyNumberFormat="1" applyFont="1" applyFill="1"/>
    <xf numFmtId="171" fontId="56" fillId="13" borderId="0" xfId="0" applyFont="1" applyFill="1"/>
    <xf numFmtId="171" fontId="49" fillId="13" borderId="0" xfId="2" applyFont="1" applyFill="1" applyAlignment="1" applyProtection="1"/>
    <xf numFmtId="166" fontId="32" fillId="13" borderId="0" xfId="1" applyNumberFormat="1" applyFont="1" applyFill="1"/>
    <xf numFmtId="14" fontId="32" fillId="13" borderId="0" xfId="0" applyNumberFormat="1" applyFont="1" applyFill="1"/>
    <xf numFmtId="3" fontId="32" fillId="10" borderId="0" xfId="0" applyNumberFormat="1" applyFont="1" applyFill="1"/>
    <xf numFmtId="171" fontId="32" fillId="11" borderId="0" xfId="0" applyFont="1" applyFill="1"/>
    <xf numFmtId="169" fontId="32" fillId="11" borderId="0" xfId="0" applyNumberFormat="1" applyFont="1" applyFill="1"/>
    <xf numFmtId="1" fontId="32" fillId="11" borderId="0" xfId="0" applyNumberFormat="1" applyFont="1" applyFill="1"/>
    <xf numFmtId="3" fontId="32" fillId="11" borderId="0" xfId="0" applyNumberFormat="1" applyFont="1" applyFill="1"/>
    <xf numFmtId="166" fontId="32" fillId="11" borderId="0" xfId="1" applyNumberFormat="1" applyFont="1" applyFill="1"/>
    <xf numFmtId="165" fontId="32" fillId="11" borderId="4" xfId="1" applyNumberFormat="1" applyFont="1" applyFill="1" applyBorder="1" applyAlignment="1">
      <alignment horizontal="left"/>
    </xf>
    <xf numFmtId="14" fontId="32" fillId="11" borderId="0" xfId="0" applyNumberFormat="1" applyFont="1" applyFill="1"/>
    <xf numFmtId="171" fontId="32" fillId="12" borderId="0" xfId="0" applyFont="1" applyFill="1"/>
    <xf numFmtId="169" fontId="32" fillId="12" borderId="0" xfId="0" applyNumberFormat="1" applyFont="1" applyFill="1"/>
    <xf numFmtId="1" fontId="32" fillId="12" borderId="0" xfId="0" applyNumberFormat="1" applyFont="1" applyFill="1"/>
    <xf numFmtId="171" fontId="49" fillId="12" borderId="0" xfId="2" applyFont="1" applyFill="1" applyAlignment="1" applyProtection="1"/>
    <xf numFmtId="166" fontId="32" fillId="12" borderId="0" xfId="1" applyNumberFormat="1" applyFont="1" applyFill="1"/>
    <xf numFmtId="14" fontId="32" fillId="12" borderId="0" xfId="0" applyNumberFormat="1" applyFont="1" applyFill="1"/>
    <xf numFmtId="3" fontId="32" fillId="13" borderId="0" xfId="0" applyNumberFormat="1" applyFont="1" applyFill="1"/>
    <xf numFmtId="171" fontId="35" fillId="10" borderId="0" xfId="2" applyFont="1" applyFill="1" applyAlignment="1" applyProtection="1"/>
    <xf numFmtId="171" fontId="32" fillId="14" borderId="0" xfId="0" applyFont="1" applyFill="1"/>
    <xf numFmtId="169" fontId="32" fillId="14" borderId="0" xfId="0" applyNumberFormat="1" applyFont="1" applyFill="1"/>
    <xf numFmtId="1" fontId="32" fillId="14" borderId="0" xfId="0" applyNumberFormat="1" applyFont="1" applyFill="1"/>
    <xf numFmtId="171" fontId="49" fillId="14" borderId="0" xfId="2" applyFont="1" applyFill="1" applyAlignment="1" applyProtection="1"/>
    <xf numFmtId="166" fontId="32" fillId="14" borderId="0" xfId="1" applyNumberFormat="1" applyFont="1" applyFill="1"/>
    <xf numFmtId="165" fontId="32" fillId="14" borderId="4" xfId="1" applyNumberFormat="1" applyFont="1" applyFill="1" applyBorder="1" applyAlignment="1">
      <alignment horizontal="left"/>
    </xf>
    <xf numFmtId="14" fontId="32" fillId="14" borderId="0" xfId="0" applyNumberFormat="1" applyFont="1" applyFill="1"/>
    <xf numFmtId="171" fontId="31" fillId="0" borderId="12" xfId="0" applyFont="1" applyBorder="1"/>
    <xf numFmtId="166" fontId="31" fillId="0" borderId="4" xfId="0" applyNumberFormat="1" applyFont="1" applyBorder="1"/>
    <xf numFmtId="1" fontId="41" fillId="0" borderId="0" xfId="0" applyNumberFormat="1" applyFont="1"/>
    <xf numFmtId="171" fontId="57" fillId="0" borderId="0" xfId="0" applyFont="1"/>
    <xf numFmtId="1" fontId="57" fillId="0" borderId="0" xfId="0" applyNumberFormat="1" applyFont="1"/>
    <xf numFmtId="2" fontId="57" fillId="0" borderId="0" xfId="0" applyNumberFormat="1" applyFont="1"/>
    <xf numFmtId="171" fontId="32" fillId="10" borderId="3" xfId="0" applyFont="1" applyFill="1" applyBorder="1"/>
    <xf numFmtId="6" fontId="32" fillId="10" borderId="0" xfId="0" applyNumberFormat="1" applyFont="1" applyFill="1"/>
    <xf numFmtId="171" fontId="39" fillId="10" borderId="0" xfId="0" applyFont="1" applyFill="1"/>
    <xf numFmtId="8" fontId="45" fillId="10" borderId="4" xfId="0" applyNumberFormat="1" applyFont="1" applyFill="1" applyBorder="1"/>
    <xf numFmtId="171" fontId="58" fillId="11" borderId="0" xfId="0" applyFont="1" applyFill="1"/>
    <xf numFmtId="171" fontId="52" fillId="11" borderId="0" xfId="2" applyFont="1" applyFill="1" applyAlignment="1" applyProtection="1"/>
    <xf numFmtId="171" fontId="49" fillId="11" borderId="0" xfId="2" applyFont="1" applyFill="1" applyAlignment="1" applyProtection="1"/>
    <xf numFmtId="3" fontId="41" fillId="0" borderId="0" xfId="0" applyNumberFormat="1" applyFont="1"/>
    <xf numFmtId="165" fontId="32" fillId="0" borderId="0" xfId="1" applyNumberFormat="1" applyFont="1" applyAlignment="1">
      <alignment horizontal="left"/>
    </xf>
    <xf numFmtId="171" fontId="59" fillId="0" borderId="0" xfId="0" applyFont="1"/>
    <xf numFmtId="172" fontId="41" fillId="0" borderId="0" xfId="0" applyNumberFormat="1" applyFont="1"/>
    <xf numFmtId="169" fontId="60" fillId="0" borderId="0" xfId="0" applyNumberFormat="1" applyFont="1"/>
    <xf numFmtId="3" fontId="32" fillId="0" borderId="0" xfId="0" applyNumberFormat="1" applyFont="1"/>
    <xf numFmtId="166" fontId="40" fillId="0" borderId="0" xfId="1" applyNumberFormat="1" applyFont="1"/>
    <xf numFmtId="169" fontId="61" fillId="0" borderId="0" xfId="0" applyNumberFormat="1" applyFont="1"/>
    <xf numFmtId="6" fontId="32" fillId="0" borderId="0" xfId="0" applyNumberFormat="1" applyFont="1"/>
    <xf numFmtId="171" fontId="62" fillId="0" borderId="0" xfId="0" applyFont="1" applyAlignment="1">
      <alignment vertical="center"/>
    </xf>
    <xf numFmtId="171" fontId="7" fillId="15" borderId="0" xfId="0" applyFont="1" applyFill="1"/>
    <xf numFmtId="165" fontId="7" fillId="15" borderId="4" xfId="1" applyNumberFormat="1" applyFont="1" applyFill="1" applyBorder="1" applyAlignment="1">
      <alignment horizontal="left"/>
    </xf>
    <xf numFmtId="169" fontId="7" fillId="15" borderId="0" xfId="0" applyNumberFormat="1" applyFont="1" applyFill="1"/>
    <xf numFmtId="1" fontId="7" fillId="15" borderId="0" xfId="0" applyNumberFormat="1" applyFont="1" applyFill="1"/>
    <xf numFmtId="166" fontId="7" fillId="15" borderId="0" xfId="1" applyNumberFormat="1" applyFont="1" applyFill="1"/>
    <xf numFmtId="14" fontId="7" fillId="15" borderId="0" xfId="0" applyNumberFormat="1" applyFont="1" applyFill="1"/>
    <xf numFmtId="1" fontId="7" fillId="10" borderId="0" xfId="0" applyNumberFormat="1" applyFont="1" applyFill="1"/>
    <xf numFmtId="171" fontId="20" fillId="15" borderId="0" xfId="2" applyFont="1" applyFill="1" applyAlignment="1" applyProtection="1"/>
    <xf numFmtId="171" fontId="20" fillId="10" borderId="0" xfId="2" applyFont="1" applyFill="1" applyAlignment="1" applyProtection="1"/>
    <xf numFmtId="171" fontId="63" fillId="10" borderId="0" xfId="0" applyFont="1" applyFill="1"/>
    <xf numFmtId="171" fontId="19" fillId="15" borderId="0" xfId="2" applyFont="1" applyFill="1" applyAlignment="1" applyProtection="1"/>
    <xf numFmtId="171" fontId="64" fillId="0" borderId="0" xfId="0" applyFont="1" applyAlignment="1">
      <alignment vertical="center"/>
    </xf>
    <xf numFmtId="171" fontId="63" fillId="15" borderId="0" xfId="0" applyFont="1" applyFill="1"/>
    <xf numFmtId="3" fontId="7" fillId="15" borderId="0" xfId="0" applyNumberFormat="1" applyFont="1" applyFill="1"/>
    <xf numFmtId="171" fontId="65" fillId="0" borderId="0" xfId="0" applyFont="1"/>
    <xf numFmtId="171" fontId="2" fillId="6" borderId="0" xfId="2" applyFill="1" applyAlignment="1" applyProtection="1"/>
    <xf numFmtId="171" fontId="1" fillId="0" borderId="0" xfId="0" applyFont="1"/>
    <xf numFmtId="171" fontId="32" fillId="15" borderId="0" xfId="0" applyFont="1" applyFill="1"/>
    <xf numFmtId="169" fontId="32" fillId="15" borderId="0" xfId="0" applyNumberFormat="1" applyFont="1" applyFill="1"/>
    <xf numFmtId="1" fontId="32" fillId="15" borderId="0" xfId="0" applyNumberFormat="1" applyFont="1" applyFill="1"/>
    <xf numFmtId="171" fontId="49" fillId="15" borderId="0" xfId="2" applyFont="1" applyFill="1" applyAlignment="1" applyProtection="1"/>
    <xf numFmtId="166" fontId="32" fillId="15" borderId="0" xfId="1" applyNumberFormat="1" applyFont="1" applyFill="1"/>
    <xf numFmtId="165" fontId="32" fillId="15" borderId="4" xfId="1" applyNumberFormat="1" applyFont="1" applyFill="1" applyBorder="1" applyAlignment="1">
      <alignment horizontal="left"/>
    </xf>
    <xf numFmtId="14" fontId="32" fillId="15" borderId="0" xfId="0" applyNumberFormat="1" applyFont="1" applyFill="1"/>
    <xf numFmtId="2" fontId="0" fillId="0" borderId="0" xfId="0" applyNumberFormat="1"/>
    <xf numFmtId="2" fontId="3" fillId="0" borderId="0" xfId="0" applyNumberFormat="1" applyFont="1"/>
    <xf numFmtId="2" fontId="1" fillId="0" borderId="0" xfId="0" applyNumberFormat="1" applyFont="1"/>
    <xf numFmtId="2" fontId="2" fillId="0" borderId="0" xfId="2" applyNumberFormat="1" applyAlignment="1" applyProtection="1"/>
    <xf numFmtId="171" fontId="7" fillId="16" borderId="0" xfId="0" applyFont="1" applyFill="1"/>
    <xf numFmtId="169" fontId="7" fillId="16" borderId="0" xfId="0" applyNumberFormat="1" applyFont="1" applyFill="1"/>
    <xf numFmtId="1" fontId="7" fillId="16" borderId="0" xfId="0" applyNumberFormat="1" applyFont="1" applyFill="1"/>
    <xf numFmtId="171" fontId="6" fillId="16" borderId="0" xfId="0" applyFont="1" applyFill="1"/>
    <xf numFmtId="3" fontId="7" fillId="16" borderId="0" xfId="0" applyNumberFormat="1" applyFont="1" applyFill="1"/>
    <xf numFmtId="171" fontId="26" fillId="16" borderId="0" xfId="2" applyFont="1" applyFill="1" applyAlignment="1" applyProtection="1"/>
    <xf numFmtId="166" fontId="7" fillId="16" borderId="0" xfId="1" applyNumberFormat="1" applyFont="1" applyFill="1"/>
    <xf numFmtId="165" fontId="7" fillId="16" borderId="0" xfId="1" applyNumberFormat="1" applyFont="1" applyFill="1" applyAlignment="1">
      <alignment horizontal="left"/>
    </xf>
    <xf numFmtId="14" fontId="7" fillId="16" borderId="0" xfId="0" applyNumberFormat="1" applyFont="1" applyFill="1"/>
    <xf numFmtId="171" fontId="7" fillId="17" borderId="0" xfId="0" applyFont="1" applyFill="1"/>
    <xf numFmtId="169" fontId="7" fillId="17" borderId="0" xfId="0" applyNumberFormat="1" applyFont="1" applyFill="1"/>
    <xf numFmtId="1" fontId="7" fillId="17" borderId="0" xfId="0" applyNumberFormat="1" applyFont="1" applyFill="1"/>
    <xf numFmtId="171" fontId="63" fillId="17" borderId="0" xfId="0" applyFont="1" applyFill="1"/>
    <xf numFmtId="3" fontId="7" fillId="17" borderId="0" xfId="0" applyNumberFormat="1" applyFont="1" applyFill="1"/>
    <xf numFmtId="171" fontId="19" fillId="17" borderId="0" xfId="2" applyFont="1" applyFill="1" applyAlignment="1" applyProtection="1"/>
    <xf numFmtId="166" fontId="7" fillId="17" borderId="0" xfId="1" applyNumberFormat="1" applyFont="1" applyFill="1"/>
    <xf numFmtId="165" fontId="7" fillId="17" borderId="4" xfId="1" applyNumberFormat="1" applyFont="1" applyFill="1" applyBorder="1" applyAlignment="1">
      <alignment horizontal="left"/>
    </xf>
    <xf numFmtId="14" fontId="7" fillId="17" borderId="0" xfId="0" applyNumberFormat="1" applyFont="1" applyFill="1"/>
    <xf numFmtId="171" fontId="2" fillId="15" borderId="0" xfId="2" applyFill="1" applyAlignment="1" applyProtection="1"/>
    <xf numFmtId="171" fontId="66" fillId="0" borderId="0" xfId="0" applyFont="1"/>
    <xf numFmtId="2" fontId="32" fillId="0" borderId="0" xfId="0" applyNumberFormat="1" applyFont="1"/>
    <xf numFmtId="171" fontId="63" fillId="0" borderId="0" xfId="0" applyFont="1"/>
    <xf numFmtId="171" fontId="26" fillId="0" borderId="0" xfId="2" applyFont="1" applyAlignment="1" applyProtection="1"/>
    <xf numFmtId="0" fontId="0" fillId="0" borderId="0" xfId="0" applyNumberFormat="1"/>
    <xf numFmtId="171" fontId="28" fillId="0" borderId="0" xfId="0" applyFont="1"/>
    <xf numFmtId="171" fontId="7" fillId="14" borderId="0" xfId="0" applyFont="1" applyFill="1"/>
    <xf numFmtId="169" fontId="7" fillId="14" borderId="0" xfId="0" applyNumberFormat="1" applyFont="1" applyFill="1"/>
    <xf numFmtId="1" fontId="7" fillId="14" borderId="0" xfId="0" applyNumberFormat="1" applyFont="1" applyFill="1"/>
    <xf numFmtId="171" fontId="6" fillId="14" borderId="0" xfId="0" applyFont="1" applyFill="1"/>
    <xf numFmtId="3" fontId="7" fillId="14" borderId="0" xfId="0" applyNumberFormat="1" applyFont="1" applyFill="1"/>
    <xf numFmtId="171" fontId="2" fillId="14" borderId="0" xfId="2" applyFill="1" applyAlignment="1" applyProtection="1"/>
    <xf numFmtId="166" fontId="7" fillId="14" borderId="0" xfId="1" applyNumberFormat="1" applyFont="1" applyFill="1"/>
    <xf numFmtId="165" fontId="7" fillId="14" borderId="0" xfId="1" applyNumberFormat="1" applyFont="1" applyFill="1" applyAlignment="1">
      <alignment horizontal="left"/>
    </xf>
    <xf numFmtId="14" fontId="7" fillId="14" borderId="0" xfId="0" applyNumberFormat="1" applyFont="1" applyFill="1"/>
    <xf numFmtId="165" fontId="7" fillId="15" borderId="0" xfId="1" applyNumberFormat="1" applyFont="1" applyFill="1" applyAlignment="1">
      <alignment horizontal="left"/>
    </xf>
    <xf numFmtId="2" fontId="4" fillId="0" borderId="0" xfId="0" applyNumberFormat="1" applyFont="1"/>
    <xf numFmtId="2" fontId="0" fillId="2" borderId="0" xfId="0" applyNumberFormat="1" applyFill="1"/>
    <xf numFmtId="2" fontId="0" fillId="3" borderId="0" xfId="0" applyNumberFormat="1" applyFill="1"/>
    <xf numFmtId="2" fontId="3" fillId="2" borderId="0" xfId="0" applyNumberFormat="1" applyFont="1" applyFill="1"/>
    <xf numFmtId="2" fontId="3" fillId="3" borderId="0" xfId="0" applyNumberFormat="1" applyFont="1" applyFill="1"/>
    <xf numFmtId="171" fontId="2" fillId="18" borderId="14" xfId="2" applyFill="1" applyBorder="1" applyAlignment="1" applyProtection="1">
      <alignment vertical="center" wrapText="1"/>
    </xf>
    <xf numFmtId="171" fontId="32" fillId="15" borderId="2" xfId="0" applyFont="1" applyFill="1" applyBorder="1"/>
    <xf numFmtId="171" fontId="32" fillId="10" borderId="2" xfId="0" applyFont="1" applyFill="1" applyBorder="1"/>
    <xf numFmtId="171" fontId="49" fillId="4" borderId="1" xfId="2" applyFont="1" applyFill="1" applyBorder="1" applyAlignment="1" applyProtection="1"/>
    <xf numFmtId="171" fontId="2" fillId="15" borderId="2" xfId="2" applyFill="1" applyBorder="1" applyAlignment="1" applyProtection="1"/>
    <xf numFmtId="171" fontId="35" fillId="0" borderId="2" xfId="2" applyFont="1" applyBorder="1" applyAlignment="1" applyProtection="1"/>
    <xf numFmtId="171" fontId="49" fillId="10" borderId="2" xfId="2" applyFont="1" applyFill="1" applyBorder="1" applyAlignment="1" applyProtection="1"/>
    <xf numFmtId="171" fontId="49" fillId="4" borderId="2" xfId="2" applyFont="1" applyFill="1" applyBorder="1" applyAlignment="1" applyProtection="1"/>
    <xf numFmtId="171" fontId="35" fillId="0" borderId="1" xfId="2" applyFont="1" applyBorder="1" applyAlignment="1" applyProtection="1"/>
    <xf numFmtId="171" fontId="0" fillId="15" borderId="0" xfId="0" applyFill="1"/>
    <xf numFmtId="171" fontId="2" fillId="19" borderId="0" xfId="2" applyFill="1" applyAlignment="1" applyProtection="1"/>
    <xf numFmtId="171" fontId="0" fillId="19" borderId="0" xfId="0" applyFill="1"/>
    <xf numFmtId="171" fontId="2" fillId="18" borderId="0" xfId="2" applyFill="1" applyAlignment="1" applyProtection="1">
      <alignment vertical="center" wrapText="1"/>
    </xf>
    <xf numFmtId="171" fontId="2" fillId="0" borderId="14" xfId="2" applyBorder="1" applyAlignment="1" applyProtection="1"/>
    <xf numFmtId="171" fontId="2" fillId="19" borderId="14" xfId="2" applyFill="1" applyBorder="1" applyAlignment="1" applyProtection="1"/>
    <xf numFmtId="171" fontId="35" fillId="10" borderId="2" xfId="2" applyFont="1" applyFill="1" applyBorder="1" applyAlignment="1" applyProtection="1"/>
    <xf numFmtId="2" fontId="7" fillId="0" borderId="0" xfId="0" applyNumberFormat="1" applyFont="1"/>
    <xf numFmtId="171" fontId="7" fillId="9" borderId="0" xfId="0" applyFont="1" applyFill="1"/>
    <xf numFmtId="169" fontId="7" fillId="9" borderId="0" xfId="0" applyNumberFormat="1" applyFont="1" applyFill="1"/>
    <xf numFmtId="1" fontId="7" fillId="9" borderId="0" xfId="0" applyNumberFormat="1" applyFont="1" applyFill="1"/>
    <xf numFmtId="171" fontId="2" fillId="9" borderId="0" xfId="2" applyFill="1" applyAlignment="1" applyProtection="1"/>
    <xf numFmtId="166" fontId="7" fillId="9" borderId="0" xfId="1" applyNumberFormat="1" applyFont="1" applyFill="1"/>
    <xf numFmtId="14" fontId="7" fillId="9" borderId="0" xfId="0" applyNumberFormat="1" applyFont="1" applyFill="1"/>
    <xf numFmtId="171" fontId="0" fillId="10" borderId="0" xfId="0" applyFill="1"/>
    <xf numFmtId="171" fontId="63" fillId="9" borderId="0" xfId="0" applyFont="1" applyFill="1"/>
    <xf numFmtId="3" fontId="7" fillId="9" borderId="0" xfId="0" applyNumberFormat="1" applyFont="1" applyFill="1"/>
    <xf numFmtId="165" fontId="7" fillId="9" borderId="0" xfId="1" applyNumberFormat="1" applyFont="1" applyFill="1" applyAlignment="1">
      <alignment horizontal="left"/>
    </xf>
    <xf numFmtId="0" fontId="35" fillId="0" borderId="0" xfId="2" applyNumberFormat="1" applyFont="1" applyAlignment="1" applyProtection="1"/>
    <xf numFmtId="171" fontId="7" fillId="20" borderId="0" xfId="0" applyFont="1" applyFill="1"/>
    <xf numFmtId="169" fontId="7" fillId="20" borderId="0" xfId="0" applyNumberFormat="1" applyFont="1" applyFill="1"/>
    <xf numFmtId="1" fontId="7" fillId="20" borderId="0" xfId="0" applyNumberFormat="1" applyFont="1" applyFill="1"/>
    <xf numFmtId="171" fontId="2" fillId="20" borderId="0" xfId="2" applyFill="1" applyAlignment="1" applyProtection="1"/>
    <xf numFmtId="166" fontId="7" fillId="20" borderId="0" xfId="1" applyNumberFormat="1" applyFont="1" applyFill="1"/>
    <xf numFmtId="14" fontId="7" fillId="20" borderId="0" xfId="0" applyNumberFormat="1" applyFont="1" applyFill="1"/>
    <xf numFmtId="0" fontId="7" fillId="0" borderId="0" xfId="0" applyNumberFormat="1" applyFont="1"/>
    <xf numFmtId="0" fontId="32" fillId="0" borderId="0" xfId="0" applyNumberFormat="1" applyFont="1"/>
    <xf numFmtId="0" fontId="41" fillId="0" borderId="0" xfId="0" applyNumberFormat="1" applyFont="1"/>
    <xf numFmtId="0" fontId="62" fillId="0" borderId="0" xfId="0" applyNumberFormat="1" applyFont="1" applyAlignment="1">
      <alignment vertical="center"/>
    </xf>
    <xf numFmtId="0" fontId="65" fillId="0" borderId="0" xfId="0" applyNumberFormat="1" applyFont="1"/>
    <xf numFmtId="0" fontId="19" fillId="0" borderId="0" xfId="2" applyNumberFormat="1" applyFont="1" applyAlignment="1" applyProtection="1"/>
    <xf numFmtId="0" fontId="7" fillId="0" borderId="0" xfId="1" applyNumberFormat="1" applyFont="1"/>
    <xf numFmtId="0" fontId="26" fillId="0" borderId="0" xfId="2" applyNumberFormat="1" applyFont="1" applyAlignment="1" applyProtection="1"/>
    <xf numFmtId="0" fontId="2" fillId="0" borderId="0" xfId="2" applyNumberFormat="1" applyAlignment="1" applyProtection="1"/>
    <xf numFmtId="0" fontId="49" fillId="0" borderId="0" xfId="2" applyNumberFormat="1" applyFont="1" applyAlignment="1" applyProtection="1"/>
    <xf numFmtId="0" fontId="32" fillId="0" borderId="0" xfId="1" applyNumberFormat="1" applyFont="1"/>
    <xf numFmtId="0" fontId="31" fillId="0" borderId="0" xfId="0" applyNumberFormat="1" applyFont="1"/>
    <xf numFmtId="0" fontId="59" fillId="0" borderId="0" xfId="0" applyNumberFormat="1" applyFont="1"/>
    <xf numFmtId="171" fontId="37" fillId="7" borderId="2" xfId="2" applyFont="1" applyFill="1" applyBorder="1" applyAlignment="1" applyProtection="1"/>
    <xf numFmtId="171" fontId="52" fillId="10" borderId="2" xfId="2" applyFont="1" applyFill="1" applyBorder="1" applyAlignment="1" applyProtection="1"/>
    <xf numFmtId="171" fontId="19" fillId="15" borderId="2" xfId="2" applyFont="1" applyFill="1" applyBorder="1" applyAlignment="1" applyProtection="1"/>
    <xf numFmtId="165" fontId="7" fillId="20" borderId="0" xfId="1" applyNumberFormat="1" applyFont="1" applyFill="1" applyAlignment="1">
      <alignment horizontal="left"/>
    </xf>
    <xf numFmtId="171" fontId="63" fillId="20" borderId="0" xfId="0" applyFont="1" applyFill="1"/>
    <xf numFmtId="3" fontId="7" fillId="20" borderId="0" xfId="0" applyNumberFormat="1" applyFont="1" applyFill="1"/>
    <xf numFmtId="0" fontId="1" fillId="0" borderId="0" xfId="0" applyNumberFormat="1" applyFont="1"/>
    <xf numFmtId="0" fontId="3" fillId="0" borderId="0" xfId="0" applyNumberFormat="1" applyFont="1"/>
    <xf numFmtId="165" fontId="7" fillId="15" borderId="0" xfId="1" applyNumberFormat="1" applyFont="1" applyFill="1" applyBorder="1" applyAlignment="1">
      <alignment horizontal="left"/>
    </xf>
    <xf numFmtId="169" fontId="7" fillId="10" borderId="15" xfId="0" applyNumberFormat="1" applyFont="1" applyFill="1" applyBorder="1"/>
    <xf numFmtId="171" fontId="31" fillId="0" borderId="15" xfId="0" applyFont="1" applyBorder="1"/>
    <xf numFmtId="169" fontId="31" fillId="0" borderId="15" xfId="0" applyNumberFormat="1" applyFont="1" applyBorder="1"/>
    <xf numFmtId="171" fontId="32" fillId="0" borderId="15" xfId="0" applyFont="1" applyBorder="1"/>
    <xf numFmtId="1" fontId="32" fillId="0" borderId="15" xfId="0" applyNumberFormat="1" applyFont="1" applyBorder="1"/>
    <xf numFmtId="1" fontId="31" fillId="0" borderId="15" xfId="0" applyNumberFormat="1" applyFont="1" applyBorder="1"/>
    <xf numFmtId="171" fontId="7" fillId="0" borderId="15" xfId="0" applyFont="1" applyBorder="1"/>
    <xf numFmtId="169" fontId="7" fillId="0" borderId="15" xfId="0" applyNumberFormat="1" applyFont="1" applyBorder="1"/>
    <xf numFmtId="3" fontId="7" fillId="0" borderId="15" xfId="0" applyNumberFormat="1" applyFont="1" applyBorder="1"/>
    <xf numFmtId="1" fontId="7" fillId="0" borderId="15" xfId="0" applyNumberFormat="1" applyFont="1" applyBorder="1"/>
    <xf numFmtId="165" fontId="7" fillId="0" borderId="15" xfId="1" applyNumberFormat="1" applyFont="1" applyFill="1" applyBorder="1" applyAlignment="1">
      <alignment horizontal="left"/>
    </xf>
    <xf numFmtId="171" fontId="2" fillId="0" borderId="15" xfId="2" applyFill="1" applyBorder="1" applyAlignment="1" applyProtection="1"/>
    <xf numFmtId="171" fontId="63" fillId="0" borderId="15" xfId="0" applyFont="1" applyBorder="1"/>
    <xf numFmtId="169" fontId="32" fillId="0" borderId="15" xfId="0" applyNumberFormat="1" applyFont="1" applyBorder="1"/>
    <xf numFmtId="169" fontId="32" fillId="10" borderId="15" xfId="0" applyNumberFormat="1" applyFont="1" applyFill="1" applyBorder="1"/>
    <xf numFmtId="169" fontId="31" fillId="10" borderId="15" xfId="0" applyNumberFormat="1" applyFont="1" applyFill="1" applyBorder="1"/>
    <xf numFmtId="171" fontId="67" fillId="0" borderId="0" xfId="0" applyFont="1"/>
    <xf numFmtId="171" fontId="6" fillId="10" borderId="0" xfId="0" applyFont="1" applyFill="1"/>
    <xf numFmtId="171" fontId="28" fillId="15" borderId="0" xfId="0" applyFont="1" applyFill="1" applyAlignment="1">
      <alignment vertical="center"/>
    </xf>
    <xf numFmtId="171" fontId="7" fillId="21" borderId="0" xfId="0" applyFont="1" applyFill="1"/>
    <xf numFmtId="169" fontId="7" fillId="21" borderId="0" xfId="0" applyNumberFormat="1" applyFont="1" applyFill="1"/>
    <xf numFmtId="1" fontId="7" fillId="21" borderId="0" xfId="0" applyNumberFormat="1" applyFont="1" applyFill="1"/>
    <xf numFmtId="171" fontId="2" fillId="21" borderId="0" xfId="2" applyFill="1" applyAlignment="1" applyProtection="1"/>
    <xf numFmtId="166" fontId="7" fillId="21" borderId="0" xfId="1" applyNumberFormat="1" applyFont="1" applyFill="1"/>
    <xf numFmtId="165" fontId="7" fillId="21" borderId="4" xfId="1" applyNumberFormat="1" applyFont="1" applyFill="1" applyBorder="1" applyAlignment="1">
      <alignment horizontal="left"/>
    </xf>
    <xf numFmtId="14" fontId="7" fillId="21" borderId="0" xfId="0" applyNumberFormat="1" applyFont="1" applyFill="1"/>
    <xf numFmtId="171" fontId="7" fillId="10" borderId="3" xfId="0" applyFont="1" applyFill="1" applyBorder="1"/>
    <xf numFmtId="171" fontId="57" fillId="0" borderId="5" xfId="0" applyFont="1" applyBorder="1"/>
    <xf numFmtId="171" fontId="32" fillId="10" borderId="7" xfId="0" applyFont="1" applyFill="1" applyBorder="1"/>
    <xf numFmtId="171" fontId="32" fillId="4" borderId="9" xfId="0" applyFont="1" applyFill="1" applyBorder="1"/>
    <xf numFmtId="171" fontId="7" fillId="15" borderId="3" xfId="0" applyFont="1" applyFill="1" applyBorder="1"/>
    <xf numFmtId="171" fontId="6" fillId="0" borderId="3" xfId="0" applyFont="1" applyBorder="1"/>
    <xf numFmtId="171" fontId="7" fillId="10" borderId="7" xfId="0" applyFont="1" applyFill="1" applyBorder="1"/>
    <xf numFmtId="171" fontId="32" fillId="0" borderId="0" xfId="0" applyFont="1" applyAlignment="1">
      <alignment horizontal="left"/>
    </xf>
    <xf numFmtId="171" fontId="41" fillId="0" borderId="3" xfId="0" applyFont="1" applyBorder="1"/>
    <xf numFmtId="171" fontId="32" fillId="0" borderId="5" xfId="0" applyFont="1" applyBorder="1"/>
    <xf numFmtId="171" fontId="41" fillId="0" borderId="7" xfId="0" applyFont="1" applyBorder="1"/>
    <xf numFmtId="171" fontId="32" fillId="6" borderId="7" xfId="0" applyFont="1" applyFill="1" applyBorder="1"/>
    <xf numFmtId="171" fontId="7" fillId="10" borderId="5" xfId="0" applyFont="1" applyFill="1" applyBorder="1"/>
    <xf numFmtId="171" fontId="7" fillId="15" borderId="7" xfId="0" applyFont="1" applyFill="1" applyBorder="1"/>
    <xf numFmtId="171" fontId="7" fillId="0" borderId="7" xfId="0" applyFont="1" applyBorder="1"/>
    <xf numFmtId="171" fontId="33" fillId="0" borderId="7" xfId="0" applyFont="1" applyBorder="1"/>
    <xf numFmtId="171" fontId="7" fillId="10" borderId="12" xfId="0" applyFont="1" applyFill="1" applyBorder="1"/>
    <xf numFmtId="166" fontId="31" fillId="2" borderId="0" xfId="0" applyNumberFormat="1" applyFont="1" applyFill="1"/>
    <xf numFmtId="2" fontId="31" fillId="9" borderId="0" xfId="0" applyNumberFormat="1" applyFont="1" applyFill="1"/>
    <xf numFmtId="171" fontId="31" fillId="0" borderId="6" xfId="0" applyFont="1" applyBorder="1"/>
    <xf numFmtId="171" fontId="57" fillId="0" borderId="6" xfId="0" applyFont="1" applyBorder="1"/>
    <xf numFmtId="171" fontId="31" fillId="0" borderId="13" xfId="0" applyFont="1" applyBorder="1"/>
    <xf numFmtId="168" fontId="31" fillId="0" borderId="0" xfId="3" applyNumberFormat="1" applyFont="1" applyBorder="1" applyAlignment="1">
      <alignment horizontal="right"/>
    </xf>
    <xf numFmtId="171" fontId="32" fillId="10" borderId="8" xfId="0" applyFont="1" applyFill="1" applyBorder="1"/>
    <xf numFmtId="171" fontId="32" fillId="4" borderId="8" xfId="0" applyFont="1" applyFill="1" applyBorder="1"/>
    <xf numFmtId="171" fontId="32" fillId="4" borderId="4" xfId="0" applyFont="1" applyFill="1" applyBorder="1"/>
    <xf numFmtId="171" fontId="32" fillId="4" borderId="10" xfId="0" applyFont="1" applyFill="1" applyBorder="1"/>
    <xf numFmtId="171" fontId="32" fillId="0" borderId="13" xfId="0" applyFont="1" applyBorder="1"/>
    <xf numFmtId="171" fontId="31" fillId="3" borderId="0" xfId="0" applyFont="1" applyFill="1"/>
    <xf numFmtId="171" fontId="32" fillId="4" borderId="6" xfId="0" applyFont="1" applyFill="1" applyBorder="1"/>
    <xf numFmtId="171" fontId="7" fillId="10" borderId="8" xfId="0" applyFont="1" applyFill="1" applyBorder="1"/>
    <xf numFmtId="167" fontId="31" fillId="0" borderId="0" xfId="3" applyNumberFormat="1" applyFont="1" applyBorder="1" applyAlignment="1">
      <alignment horizontal="right"/>
    </xf>
    <xf numFmtId="2" fontId="31" fillId="3" borderId="0" xfId="0" applyNumberFormat="1" applyFont="1" applyFill="1"/>
    <xf numFmtId="171" fontId="32" fillId="6" borderId="8" xfId="0" applyFont="1" applyFill="1" applyBorder="1"/>
    <xf numFmtId="171" fontId="7" fillId="10" borderId="6" xfId="0" applyFont="1" applyFill="1" applyBorder="1"/>
    <xf numFmtId="171" fontId="7" fillId="15" borderId="8" xfId="0" applyFont="1" applyFill="1" applyBorder="1"/>
    <xf numFmtId="171" fontId="7" fillId="0" borderId="8" xfId="0" applyFont="1" applyBorder="1"/>
    <xf numFmtId="171" fontId="7" fillId="10" borderId="13" xfId="0" applyFont="1" applyFill="1" applyBorder="1"/>
    <xf numFmtId="171" fontId="7" fillId="10" borderId="4" xfId="0" applyFont="1" applyFill="1" applyBorder="1"/>
    <xf numFmtId="166" fontId="31" fillId="0" borderId="0" xfId="1" applyNumberFormat="1" applyFont="1" applyBorder="1"/>
    <xf numFmtId="166" fontId="31" fillId="0" borderId="0" xfId="1" applyNumberFormat="1" applyFont="1" applyBorder="1" applyAlignment="1">
      <alignment horizontal="left" indent="3"/>
    </xf>
    <xf numFmtId="169" fontId="32" fillId="4" borderId="11" xfId="0" applyNumberFormat="1" applyFont="1" applyFill="1" applyBorder="1"/>
    <xf numFmtId="169" fontId="31" fillId="0" borderId="11" xfId="0" applyNumberFormat="1" applyFont="1" applyBorder="1"/>
    <xf numFmtId="169" fontId="7" fillId="10" borderId="11" xfId="0" applyNumberFormat="1" applyFont="1" applyFill="1" applyBorder="1"/>
    <xf numFmtId="169" fontId="60" fillId="0" borderId="2" xfId="0" applyNumberFormat="1" applyFont="1" applyBorder="1"/>
    <xf numFmtId="169" fontId="60" fillId="0" borderId="1" xfId="0" applyNumberFormat="1" applyFont="1" applyBorder="1"/>
    <xf numFmtId="169" fontId="32" fillId="10" borderId="2" xfId="0" applyNumberFormat="1" applyFont="1" applyFill="1" applyBorder="1"/>
    <xf numFmtId="169" fontId="32" fillId="13" borderId="3" xfId="0" applyNumberFormat="1" applyFont="1" applyFill="1" applyBorder="1"/>
    <xf numFmtId="171" fontId="32" fillId="0" borderId="5" xfId="0" applyFont="1" applyBorder="1" applyAlignment="1">
      <alignment horizontal="left"/>
    </xf>
    <xf numFmtId="169" fontId="32" fillId="10" borderId="3" xfId="0" applyNumberFormat="1" applyFont="1" applyFill="1" applyBorder="1"/>
    <xf numFmtId="169" fontId="32" fillId="10" borderId="7" xfId="0" applyNumberFormat="1" applyFont="1" applyFill="1" applyBorder="1"/>
    <xf numFmtId="169" fontId="31" fillId="0" borderId="3" xfId="0" applyNumberFormat="1" applyFont="1" applyBorder="1"/>
    <xf numFmtId="169" fontId="7" fillId="15" borderId="7" xfId="0" applyNumberFormat="1" applyFont="1" applyFill="1" applyBorder="1"/>
    <xf numFmtId="169" fontId="32" fillId="4" borderId="3" xfId="0" applyNumberFormat="1" applyFont="1" applyFill="1" applyBorder="1"/>
    <xf numFmtId="169" fontId="32" fillId="4" borderId="7" xfId="0" applyNumberFormat="1" applyFont="1" applyFill="1" applyBorder="1"/>
    <xf numFmtId="169" fontId="32" fillId="12" borderId="3" xfId="0" applyNumberFormat="1" applyFont="1" applyFill="1" applyBorder="1"/>
    <xf numFmtId="169" fontId="7" fillId="10" borderId="3" xfId="0" applyNumberFormat="1" applyFont="1" applyFill="1" applyBorder="1"/>
    <xf numFmtId="169" fontId="32" fillId="4" borderId="5" xfId="0" applyNumberFormat="1" applyFont="1" applyFill="1" applyBorder="1"/>
    <xf numFmtId="169" fontId="32" fillId="0" borderId="7" xfId="0" applyNumberFormat="1" applyFont="1" applyBorder="1"/>
    <xf numFmtId="169" fontId="31" fillId="0" borderId="5" xfId="0" applyNumberFormat="1" applyFont="1" applyBorder="1"/>
    <xf numFmtId="169" fontId="7" fillId="15" borderId="3" xfId="0" applyNumberFormat="1" applyFont="1" applyFill="1" applyBorder="1"/>
    <xf numFmtId="171" fontId="31" fillId="0" borderId="3" xfId="0" applyFont="1" applyBorder="1" applyAlignment="1">
      <alignment horizontal="left"/>
    </xf>
    <xf numFmtId="169" fontId="7" fillId="0" borderId="7" xfId="0" applyNumberFormat="1" applyFont="1" applyBorder="1"/>
    <xf numFmtId="169" fontId="7" fillId="10" borderId="7" xfId="0" applyNumberFormat="1" applyFont="1" applyFill="1" applyBorder="1"/>
    <xf numFmtId="171" fontId="32" fillId="13" borderId="4" xfId="0" applyFont="1" applyFill="1" applyBorder="1"/>
    <xf numFmtId="171" fontId="32" fillId="10" borderId="4" xfId="0" applyFont="1" applyFill="1" applyBorder="1"/>
    <xf numFmtId="171" fontId="41" fillId="0" borderId="4" xfId="0" applyFont="1" applyBorder="1"/>
    <xf numFmtId="171" fontId="32" fillId="12" borderId="4" xfId="0" applyFont="1" applyFill="1" applyBorder="1"/>
    <xf numFmtId="1" fontId="31" fillId="3" borderId="0" xfId="0" applyNumberFormat="1" applyFont="1" applyFill="1"/>
    <xf numFmtId="171" fontId="57" fillId="0" borderId="4" xfId="0" applyFont="1" applyBorder="1"/>
    <xf numFmtId="171" fontId="41" fillId="0" borderId="8" xfId="0" applyFont="1" applyBorder="1"/>
    <xf numFmtId="171" fontId="7" fillId="15" borderId="4" xfId="0" applyFont="1" applyFill="1" applyBorder="1"/>
    <xf numFmtId="1" fontId="32" fillId="10" borderId="2" xfId="0" applyNumberFormat="1" applyFont="1" applyFill="1" applyBorder="1"/>
    <xf numFmtId="3" fontId="32" fillId="0" borderId="2" xfId="0" applyNumberFormat="1" applyFont="1" applyBorder="1"/>
    <xf numFmtId="3" fontId="32" fillId="0" borderId="1" xfId="0" applyNumberFormat="1" applyFont="1" applyBorder="1"/>
    <xf numFmtId="171" fontId="35" fillId="4" borderId="0" xfId="2" applyFont="1" applyFill="1" applyBorder="1" applyAlignment="1" applyProtection="1"/>
    <xf numFmtId="166" fontId="32" fillId="4" borderId="0" xfId="1" applyNumberFormat="1" applyFont="1" applyFill="1" applyBorder="1"/>
    <xf numFmtId="166" fontId="40" fillId="0" borderId="2" xfId="1" applyNumberFormat="1" applyFont="1" applyBorder="1"/>
    <xf numFmtId="166" fontId="40" fillId="0" borderId="1" xfId="1" applyNumberFormat="1" applyFont="1" applyBorder="1"/>
    <xf numFmtId="166" fontId="32" fillId="10" borderId="2" xfId="1" applyNumberFormat="1" applyFont="1" applyFill="1" applyBorder="1"/>
    <xf numFmtId="1" fontId="32" fillId="0" borderId="0" xfId="4" applyNumberFormat="1" applyFont="1" applyBorder="1"/>
    <xf numFmtId="165" fontId="32" fillId="4" borderId="0" xfId="1" applyNumberFormat="1" applyFont="1" applyFill="1" applyBorder="1" applyAlignment="1">
      <alignment horizontal="left"/>
    </xf>
    <xf numFmtId="171" fontId="31" fillId="0" borderId="4" xfId="0" applyFont="1" applyBorder="1" applyAlignment="1">
      <alignment horizontal="left"/>
    </xf>
    <xf numFmtId="165" fontId="32" fillId="6" borderId="0" xfId="1" applyNumberFormat="1" applyFont="1" applyFill="1" applyBorder="1" applyAlignment="1">
      <alignment horizontal="left"/>
    </xf>
    <xf numFmtId="2" fontId="57" fillId="0" borderId="4" xfId="0" applyNumberFormat="1" applyFont="1" applyBorder="1"/>
    <xf numFmtId="166" fontId="40" fillId="4" borderId="0" xfId="1" applyNumberFormat="1" applyFont="1" applyFill="1" applyBorder="1"/>
    <xf numFmtId="165" fontId="32" fillId="10" borderId="0" xfId="1" applyNumberFormat="1" applyFont="1" applyFill="1" applyBorder="1" applyAlignment="1">
      <alignment horizontal="left"/>
    </xf>
    <xf numFmtId="165" fontId="32" fillId="13" borderId="0" xfId="1" applyNumberFormat="1" applyFont="1" applyFill="1" applyBorder="1" applyAlignment="1">
      <alignment horizontal="left"/>
    </xf>
    <xf numFmtId="166" fontId="31" fillId="0" borderId="4" xfId="0" applyNumberFormat="1" applyFont="1" applyBorder="1" applyAlignment="1">
      <alignment horizontal="left"/>
    </xf>
    <xf numFmtId="8" fontId="45" fillId="10" borderId="0" xfId="0" applyNumberFormat="1" applyFont="1" applyFill="1"/>
    <xf numFmtId="165" fontId="32" fillId="0" borderId="0" xfId="1" applyNumberFormat="1" applyFont="1" applyBorder="1" applyAlignment="1">
      <alignment horizontal="left"/>
    </xf>
    <xf numFmtId="165" fontId="7" fillId="14" borderId="4" xfId="1" applyNumberFormat="1" applyFont="1" applyFill="1" applyBorder="1" applyAlignment="1">
      <alignment horizontal="left"/>
    </xf>
    <xf numFmtId="166" fontId="32" fillId="5" borderId="0" xfId="1" applyNumberFormat="1" applyFont="1" applyFill="1" applyBorder="1"/>
    <xf numFmtId="165" fontId="7" fillId="10" borderId="0" xfId="1" applyNumberFormat="1" applyFont="1" applyFill="1" applyBorder="1" applyAlignment="1">
      <alignment horizontal="left"/>
    </xf>
    <xf numFmtId="165" fontId="32" fillId="12" borderId="0" xfId="1" applyNumberFormat="1" applyFont="1" applyFill="1" applyBorder="1" applyAlignment="1">
      <alignment horizontal="left"/>
    </xf>
    <xf numFmtId="165" fontId="40" fillId="4" borderId="0" xfId="1" applyNumberFormat="1" applyFont="1" applyFill="1" applyBorder="1"/>
    <xf numFmtId="165" fontId="32" fillId="11" borderId="0" xfId="1" applyNumberFormat="1" applyFont="1" applyFill="1" applyBorder="1" applyAlignment="1">
      <alignment horizontal="left"/>
    </xf>
    <xf numFmtId="165" fontId="32" fillId="4" borderId="6" xfId="1" applyNumberFormat="1" applyFont="1" applyFill="1" applyBorder="1" applyAlignment="1">
      <alignment horizontal="left"/>
    </xf>
    <xf numFmtId="165" fontId="7" fillId="0" borderId="0" xfId="1" applyNumberFormat="1" applyFont="1" applyBorder="1" applyAlignment="1">
      <alignment horizontal="left"/>
    </xf>
    <xf numFmtId="8" fontId="45" fillId="4" borderId="0" xfId="0" applyNumberFormat="1" applyFont="1" applyFill="1"/>
    <xf numFmtId="166" fontId="32" fillId="0" borderId="0" xfId="1" applyNumberFormat="1" applyFont="1" applyBorder="1"/>
    <xf numFmtId="165" fontId="32" fillId="10" borderId="8" xfId="1" applyNumberFormat="1" applyFont="1" applyFill="1" applyBorder="1" applyAlignment="1">
      <alignment horizontal="left"/>
    </xf>
    <xf numFmtId="44" fontId="31" fillId="5" borderId="0" xfId="1" applyFont="1" applyFill="1" applyBorder="1"/>
    <xf numFmtId="165" fontId="32" fillId="4" borderId="8" xfId="1" applyNumberFormat="1" applyFont="1" applyFill="1" applyBorder="1" applyAlignment="1">
      <alignment horizontal="left"/>
    </xf>
    <xf numFmtId="165" fontId="7" fillId="16" borderId="4" xfId="1" applyNumberFormat="1" applyFont="1" applyFill="1" applyBorder="1" applyAlignment="1">
      <alignment horizontal="left"/>
    </xf>
    <xf numFmtId="171" fontId="35" fillId="0" borderId="0" xfId="2" applyFont="1" applyBorder="1" applyAlignment="1" applyProtection="1"/>
    <xf numFmtId="171" fontId="20" fillId="10" borderId="0" xfId="2" applyFont="1" applyFill="1" applyBorder="1" applyAlignment="1" applyProtection="1"/>
    <xf numFmtId="171" fontId="49" fillId="10" borderId="0" xfId="2" applyFont="1" applyFill="1" applyBorder="1" applyAlignment="1" applyProtection="1"/>
    <xf numFmtId="166" fontId="40" fillId="0" borderId="0" xfId="1" applyNumberFormat="1" applyFont="1" applyBorder="1"/>
    <xf numFmtId="166" fontId="7" fillId="10" borderId="0" xfId="1" applyNumberFormat="1" applyFont="1" applyFill="1" applyBorder="1"/>
    <xf numFmtId="166" fontId="32" fillId="10" borderId="0" xfId="1" applyNumberFormat="1" applyFont="1" applyFill="1" applyBorder="1"/>
    <xf numFmtId="165" fontId="7" fillId="9" borderId="0" xfId="1" applyNumberFormat="1" applyFont="1" applyFill="1" applyBorder="1" applyAlignment="1">
      <alignment horizontal="left"/>
    </xf>
    <xf numFmtId="171" fontId="32" fillId="13" borderId="3" xfId="0" applyFont="1" applyFill="1" applyBorder="1"/>
    <xf numFmtId="171" fontId="7" fillId="15" borderId="9" xfId="0" applyFont="1" applyFill="1" applyBorder="1"/>
    <xf numFmtId="171" fontId="33" fillId="0" borderId="3" xfId="0" applyFont="1" applyBorder="1"/>
    <xf numFmtId="171" fontId="32" fillId="10" borderId="9" xfId="0" applyFont="1" applyFill="1" applyBorder="1"/>
    <xf numFmtId="171" fontId="53" fillId="10" borderId="3" xfId="0" applyFont="1" applyFill="1" applyBorder="1"/>
    <xf numFmtId="171" fontId="7" fillId="9" borderId="5" xfId="0" applyFont="1" applyFill="1" applyBorder="1"/>
    <xf numFmtId="171" fontId="32" fillId="7" borderId="7" xfId="0" applyFont="1" applyFill="1" applyBorder="1"/>
    <xf numFmtId="171" fontId="8" fillId="0" borderId="3" xfId="0" applyFont="1" applyBorder="1"/>
    <xf numFmtId="171" fontId="7" fillId="20" borderId="7" xfId="0" applyFont="1" applyFill="1" applyBorder="1"/>
    <xf numFmtId="171" fontId="32" fillId="13" borderId="5" xfId="0" applyFont="1" applyFill="1" applyBorder="1"/>
    <xf numFmtId="171" fontId="32" fillId="0" borderId="12" xfId="0" applyFont="1" applyBorder="1"/>
    <xf numFmtId="171" fontId="32" fillId="15" borderId="3" xfId="0" applyFont="1" applyFill="1" applyBorder="1"/>
    <xf numFmtId="171" fontId="7" fillId="20" borderId="3" xfId="0" applyFont="1" applyFill="1" applyBorder="1"/>
    <xf numFmtId="171" fontId="32" fillId="12" borderId="7" xfId="0" applyFont="1" applyFill="1" applyBorder="1"/>
    <xf numFmtId="171" fontId="32" fillId="11" borderId="5" xfId="0" applyFont="1" applyFill="1" applyBorder="1"/>
    <xf numFmtId="2" fontId="31" fillId="3" borderId="4" xfId="0" applyNumberFormat="1" applyFont="1" applyFill="1" applyBorder="1"/>
    <xf numFmtId="171" fontId="7" fillId="15" borderId="10" xfId="0" applyFont="1" applyFill="1" applyBorder="1"/>
    <xf numFmtId="171" fontId="32" fillId="10" borderId="10" xfId="0" applyFont="1" applyFill="1" applyBorder="1"/>
    <xf numFmtId="171" fontId="7" fillId="9" borderId="6" xfId="0" applyFont="1" applyFill="1" applyBorder="1"/>
    <xf numFmtId="171" fontId="32" fillId="7" borderId="8" xfId="0" applyFont="1" applyFill="1" applyBorder="1"/>
    <xf numFmtId="171" fontId="7" fillId="20" borderId="8" xfId="0" applyFont="1" applyFill="1" applyBorder="1"/>
    <xf numFmtId="168" fontId="31" fillId="0" borderId="6" xfId="3" applyNumberFormat="1" applyFont="1" applyBorder="1" applyAlignment="1">
      <alignment horizontal="right"/>
    </xf>
    <xf numFmtId="171" fontId="32" fillId="13" borderId="6" xfId="0" applyFont="1" applyFill="1" applyBorder="1"/>
    <xf numFmtId="2" fontId="31" fillId="9" borderId="8" xfId="0" applyNumberFormat="1" applyFont="1" applyFill="1" applyBorder="1"/>
    <xf numFmtId="166" fontId="31" fillId="0" borderId="13" xfId="0" applyNumberFormat="1" applyFont="1" applyBorder="1"/>
    <xf numFmtId="171" fontId="32" fillId="12" borderId="8" xfId="0" applyFont="1" applyFill="1" applyBorder="1"/>
    <xf numFmtId="171" fontId="32" fillId="11" borderId="6" xfId="0" applyFont="1" applyFill="1" applyBorder="1"/>
    <xf numFmtId="169" fontId="32" fillId="6" borderId="11" xfId="0" applyNumberFormat="1" applyFont="1" applyFill="1" applyBorder="1"/>
    <xf numFmtId="169" fontId="32" fillId="7" borderId="11" xfId="0" applyNumberFormat="1" applyFont="1" applyFill="1" applyBorder="1"/>
    <xf numFmtId="171" fontId="41" fillId="0" borderId="11" xfId="0" applyFont="1" applyBorder="1"/>
    <xf numFmtId="169" fontId="7" fillId="20" borderId="11" xfId="0" applyNumberFormat="1" applyFont="1" applyFill="1" applyBorder="1"/>
    <xf numFmtId="169" fontId="32" fillId="12" borderId="11" xfId="0" applyNumberFormat="1" applyFont="1" applyFill="1" applyBorder="1"/>
    <xf numFmtId="171" fontId="31" fillId="0" borderId="5" xfId="0" applyFont="1" applyBorder="1" applyAlignment="1">
      <alignment horizontal="left"/>
    </xf>
    <xf numFmtId="169" fontId="32" fillId="6" borderId="3" xfId="0" applyNumberFormat="1" applyFont="1" applyFill="1" applyBorder="1"/>
    <xf numFmtId="169" fontId="7" fillId="10" borderId="5" xfId="0" applyNumberFormat="1" applyFont="1" applyFill="1" applyBorder="1"/>
    <xf numFmtId="169" fontId="7" fillId="9" borderId="3" xfId="0" applyNumberFormat="1" applyFont="1" applyFill="1" applyBorder="1"/>
    <xf numFmtId="169" fontId="32" fillId="7" borderId="3" xfId="0" applyNumberFormat="1" applyFont="1" applyFill="1" applyBorder="1"/>
    <xf numFmtId="169" fontId="7" fillId="0" borderId="3" xfId="0" applyNumberFormat="1" applyFont="1" applyBorder="1"/>
    <xf numFmtId="169" fontId="7" fillId="20" borderId="3" xfId="0" applyNumberFormat="1" applyFont="1" applyFill="1" applyBorder="1"/>
    <xf numFmtId="169" fontId="61" fillId="0" borderId="5" xfId="0" applyNumberFormat="1" applyFont="1" applyBorder="1"/>
    <xf numFmtId="169" fontId="32" fillId="13" borderId="7" xfId="0" applyNumberFormat="1" applyFont="1" applyFill="1" applyBorder="1"/>
    <xf numFmtId="169" fontId="32" fillId="5" borderId="3" xfId="0" applyNumberFormat="1" applyFont="1" applyFill="1" applyBorder="1"/>
    <xf numFmtId="169" fontId="32" fillId="11" borderId="5" xfId="0" applyNumberFormat="1" applyFont="1" applyFill="1" applyBorder="1"/>
    <xf numFmtId="171" fontId="31" fillId="3" borderId="4" xfId="0" applyFont="1" applyFill="1" applyBorder="1"/>
    <xf numFmtId="171" fontId="32" fillId="6" borderId="4" xfId="0" applyFont="1" applyFill="1" applyBorder="1"/>
    <xf numFmtId="171" fontId="7" fillId="9" borderId="4" xfId="0" applyFont="1" applyFill="1" applyBorder="1"/>
    <xf numFmtId="171" fontId="32" fillId="7" borderId="4" xfId="0" applyFont="1" applyFill="1" applyBorder="1"/>
    <xf numFmtId="171" fontId="7" fillId="20" borderId="4" xfId="0" applyFont="1" applyFill="1" applyBorder="1"/>
    <xf numFmtId="171" fontId="32" fillId="13" borderId="8" xfId="0" applyFont="1" applyFill="1" applyBorder="1"/>
    <xf numFmtId="171" fontId="32" fillId="5" borderId="4" xfId="0" applyFont="1" applyFill="1" applyBorder="1"/>
    <xf numFmtId="3" fontId="54" fillId="10" borderId="2" xfId="0" applyNumberFormat="1" applyFont="1" applyFill="1" applyBorder="1"/>
    <xf numFmtId="170" fontId="31" fillId="0" borderId="4" xfId="0" applyNumberFormat="1" applyFont="1" applyBorder="1"/>
    <xf numFmtId="165" fontId="32" fillId="8" borderId="0" xfId="1" applyNumberFormat="1" applyFont="1" applyFill="1" applyBorder="1" applyAlignment="1">
      <alignment horizontal="left"/>
    </xf>
    <xf numFmtId="165" fontId="7" fillId="21" borderId="0" xfId="1" applyNumberFormat="1" applyFont="1" applyFill="1" applyBorder="1" applyAlignment="1">
      <alignment horizontal="left"/>
    </xf>
    <xf numFmtId="6" fontId="45" fillId="4" borderId="0" xfId="0" applyNumberFormat="1" applyFont="1" applyFill="1"/>
    <xf numFmtId="165" fontId="7" fillId="17" borderId="0" xfId="1" applyNumberFormat="1" applyFont="1" applyFill="1" applyBorder="1" applyAlignment="1">
      <alignment horizontal="left"/>
    </xf>
    <xf numFmtId="165" fontId="32" fillId="7" borderId="0" xfId="1" applyNumberFormat="1" applyFont="1" applyFill="1" applyBorder="1" applyAlignment="1">
      <alignment horizontal="left"/>
    </xf>
    <xf numFmtId="166" fontId="45" fillId="4" borderId="0" xfId="1" applyNumberFormat="1" applyFont="1" applyFill="1" applyBorder="1"/>
    <xf numFmtId="166" fontId="32" fillId="6" borderId="0" xfId="1" applyNumberFormat="1" applyFont="1" applyFill="1" applyBorder="1"/>
    <xf numFmtId="166" fontId="36" fillId="4" borderId="0" xfId="1" applyNumberFormat="1" applyFont="1" applyFill="1" applyBorder="1"/>
    <xf numFmtId="171" fontId="49" fillId="10" borderId="1" xfId="2" applyFont="1" applyFill="1" applyBorder="1" applyAlignment="1" applyProtection="1"/>
    <xf numFmtId="171" fontId="2" fillId="14" borderId="2" xfId="2" applyFill="1" applyBorder="1" applyAlignment="1" applyProtection="1"/>
    <xf numFmtId="171" fontId="49" fillId="4" borderId="0" xfId="2" applyFont="1" applyFill="1" applyBorder="1" applyAlignment="1" applyProtection="1"/>
    <xf numFmtId="165" fontId="7" fillId="20" borderId="0" xfId="1" applyNumberFormat="1" applyFont="1" applyFill="1" applyBorder="1" applyAlignment="1">
      <alignment horizontal="left"/>
    </xf>
    <xf numFmtId="171" fontId="0" fillId="0" borderId="2" xfId="0" applyBorder="1"/>
    <xf numFmtId="173" fontId="7" fillId="10" borderId="0" xfId="0" applyNumberFormat="1" applyFont="1" applyFill="1"/>
    <xf numFmtId="171" fontId="2" fillId="0" borderId="0" xfId="2" applyFill="1" applyAlignment="1" applyProtection="1"/>
    <xf numFmtId="166" fontId="7" fillId="0" borderId="0" xfId="1" applyNumberFormat="1" applyFont="1" applyFill="1"/>
    <xf numFmtId="173" fontId="7" fillId="0" borderId="0" xfId="0" applyNumberFormat="1" applyFont="1"/>
    <xf numFmtId="165" fontId="7" fillId="0" borderId="4" xfId="1" applyNumberFormat="1" applyFont="1" applyFill="1" applyBorder="1" applyAlignment="1">
      <alignment horizontal="left"/>
    </xf>
    <xf numFmtId="1" fontId="68" fillId="0" borderId="0" xfId="0" applyNumberFormat="1" applyFont="1"/>
    <xf numFmtId="3" fontId="7" fillId="21" borderId="0" xfId="0" applyNumberFormat="1" applyFont="1" applyFill="1"/>
    <xf numFmtId="171" fontId="7" fillId="19" borderId="0" xfId="0" applyFont="1" applyFill="1"/>
    <xf numFmtId="169" fontId="7" fillId="19" borderId="0" xfId="0" applyNumberFormat="1" applyFont="1" applyFill="1"/>
    <xf numFmtId="1" fontId="7" fillId="19" borderId="0" xfId="0" applyNumberFormat="1" applyFont="1" applyFill="1"/>
    <xf numFmtId="171" fontId="63" fillId="19" borderId="0" xfId="0" applyFont="1" applyFill="1"/>
    <xf numFmtId="3" fontId="7" fillId="19" borderId="0" xfId="0" applyNumberFormat="1" applyFont="1" applyFill="1"/>
    <xf numFmtId="166" fontId="7" fillId="19" borderId="0" xfId="1" applyNumberFormat="1" applyFont="1" applyFill="1"/>
    <xf numFmtId="14" fontId="7" fillId="19" borderId="0" xfId="0" applyNumberFormat="1" applyFont="1" applyFill="1"/>
    <xf numFmtId="173" fontId="7" fillId="19" borderId="0" xfId="0" applyNumberFormat="1" applyFont="1" applyFill="1"/>
    <xf numFmtId="165" fontId="7" fillId="19" borderId="0" xfId="1" applyNumberFormat="1" applyFont="1" applyFill="1" applyAlignment="1">
      <alignment horizontal="left"/>
    </xf>
    <xf numFmtId="171" fontId="7" fillId="19" borderId="3" xfId="0" applyFont="1" applyFill="1" applyBorder="1"/>
    <xf numFmtId="171" fontId="7" fillId="22" borderId="0" xfId="0" applyFont="1" applyFill="1"/>
    <xf numFmtId="169" fontId="7" fillId="22" borderId="0" xfId="0" applyNumberFormat="1" applyFont="1" applyFill="1"/>
    <xf numFmtId="1" fontId="7" fillId="22" borderId="0" xfId="0" applyNumberFormat="1" applyFont="1" applyFill="1"/>
    <xf numFmtId="171" fontId="6" fillId="22" borderId="0" xfId="0" applyFont="1" applyFill="1"/>
    <xf numFmtId="3" fontId="7" fillId="22" borderId="0" xfId="0" applyNumberFormat="1" applyFont="1" applyFill="1"/>
    <xf numFmtId="166" fontId="7" fillId="22" borderId="0" xfId="1" applyNumberFormat="1" applyFont="1" applyFill="1"/>
    <xf numFmtId="165" fontId="7" fillId="22" borderId="4" xfId="1" applyNumberFormat="1" applyFont="1" applyFill="1" applyBorder="1" applyAlignment="1">
      <alignment horizontal="left"/>
    </xf>
    <xf numFmtId="14" fontId="7" fillId="22" borderId="0" xfId="0" applyNumberFormat="1" applyFont="1" applyFill="1"/>
    <xf numFmtId="171" fontId="2" fillId="22" borderId="0" xfId="2" applyFill="1" applyAlignment="1" applyProtection="1"/>
    <xf numFmtId="165" fontId="7" fillId="22" borderId="0" xfId="1" applyNumberFormat="1" applyFont="1" applyFill="1" applyAlignment="1">
      <alignment horizontal="left"/>
    </xf>
    <xf numFmtId="173" fontId="7" fillId="22" borderId="0" xfId="0" applyNumberFormat="1" applyFont="1" applyFill="1"/>
    <xf numFmtId="171" fontId="32" fillId="10" borderId="5" xfId="0" applyFont="1" applyFill="1" applyBorder="1"/>
    <xf numFmtId="171" fontId="32" fillId="4" borderId="12" xfId="0" applyFont="1" applyFill="1" applyBorder="1"/>
    <xf numFmtId="171" fontId="41" fillId="0" borderId="12" xfId="0" applyFont="1" applyBorder="1"/>
    <xf numFmtId="171" fontId="41" fillId="0" borderId="5" xfId="0" applyFont="1" applyBorder="1"/>
    <xf numFmtId="171" fontId="32" fillId="11" borderId="7" xfId="0" applyFont="1" applyFill="1" applyBorder="1"/>
    <xf numFmtId="171" fontId="32" fillId="5" borderId="3" xfId="0" applyFont="1" applyFill="1" applyBorder="1"/>
    <xf numFmtId="171" fontId="32" fillId="5" borderId="5" xfId="0" applyFont="1" applyFill="1" applyBorder="1"/>
    <xf numFmtId="171" fontId="7" fillId="10" borderId="9" xfId="0" applyFont="1" applyFill="1" applyBorder="1"/>
    <xf numFmtId="171" fontId="32" fillId="13" borderId="7" xfId="0" applyFont="1" applyFill="1" applyBorder="1"/>
    <xf numFmtId="171" fontId="32" fillId="13" borderId="9" xfId="0" applyFont="1" applyFill="1" applyBorder="1"/>
    <xf numFmtId="171" fontId="7" fillId="15" borderId="5" xfId="0" applyFont="1" applyFill="1" applyBorder="1"/>
    <xf numFmtId="171" fontId="32" fillId="0" borderId="9" xfId="0" applyFont="1" applyBorder="1"/>
    <xf numFmtId="171" fontId="33" fillId="0" borderId="12" xfId="0" applyFont="1" applyBorder="1"/>
    <xf numFmtId="171" fontId="32" fillId="10" borderId="6" xfId="0" applyFont="1" applyFill="1" applyBorder="1"/>
    <xf numFmtId="171" fontId="32" fillId="4" borderId="13" xfId="0" applyFont="1" applyFill="1" applyBorder="1"/>
    <xf numFmtId="171" fontId="41" fillId="0" borderId="13" xfId="0" applyFont="1" applyBorder="1"/>
    <xf numFmtId="166" fontId="31" fillId="4" borderId="6" xfId="0" applyNumberFormat="1" applyFont="1" applyFill="1" applyBorder="1"/>
    <xf numFmtId="171" fontId="32" fillId="11" borderId="8" xfId="0" applyFont="1" applyFill="1" applyBorder="1"/>
    <xf numFmtId="171" fontId="32" fillId="5" borderId="6" xfId="0" applyFont="1" applyFill="1" applyBorder="1"/>
    <xf numFmtId="171" fontId="7" fillId="10" borderId="10" xfId="0" applyFont="1" applyFill="1" applyBorder="1"/>
    <xf numFmtId="171" fontId="32" fillId="13" borderId="10" xfId="0" applyFont="1" applyFill="1" applyBorder="1"/>
    <xf numFmtId="171" fontId="7" fillId="15" borderId="6" xfId="0" applyFont="1" applyFill="1" applyBorder="1"/>
    <xf numFmtId="171" fontId="32" fillId="0" borderId="10" xfId="0" applyFont="1" applyBorder="1"/>
    <xf numFmtId="166" fontId="31" fillId="2" borderId="4" xfId="0" applyNumberFormat="1" applyFont="1" applyFill="1" applyBorder="1"/>
    <xf numFmtId="166" fontId="31" fillId="4" borderId="13" xfId="0" applyNumberFormat="1" applyFont="1" applyFill="1" applyBorder="1"/>
    <xf numFmtId="169" fontId="61" fillId="0" borderId="11" xfId="0" applyNumberFormat="1" applyFont="1" applyBorder="1"/>
    <xf numFmtId="169" fontId="32" fillId="0" borderId="11" xfId="0" applyNumberFormat="1" applyFont="1" applyBorder="1"/>
    <xf numFmtId="169" fontId="32" fillId="11" borderId="11" xfId="0" applyNumberFormat="1" applyFont="1" applyFill="1" applyBorder="1"/>
    <xf numFmtId="169" fontId="61" fillId="0" borderId="2" xfId="0" applyNumberFormat="1" applyFont="1" applyBorder="1"/>
    <xf numFmtId="169" fontId="60" fillId="0" borderId="11" xfId="0" applyNumberFormat="1" applyFont="1" applyBorder="1"/>
    <xf numFmtId="169" fontId="32" fillId="10" borderId="5" xfId="0" applyNumberFormat="1" applyFont="1" applyFill="1" applyBorder="1"/>
    <xf numFmtId="169" fontId="61" fillId="0" borderId="3" xfId="0" applyNumberFormat="1" applyFont="1" applyBorder="1"/>
    <xf numFmtId="169" fontId="60" fillId="0" borderId="7" xfId="0" applyNumberFormat="1" applyFont="1" applyBorder="1"/>
    <xf numFmtId="169" fontId="32" fillId="0" borderId="5" xfId="0" applyNumberFormat="1" applyFont="1" applyBorder="1"/>
    <xf numFmtId="169" fontId="32" fillId="0" borderId="3" xfId="0" applyNumberFormat="1" applyFont="1" applyBorder="1"/>
    <xf numFmtId="169" fontId="32" fillId="11" borderId="3" xfId="0" applyNumberFormat="1" applyFont="1" applyFill="1" applyBorder="1"/>
    <xf numFmtId="169" fontId="60" fillId="0" borderId="3" xfId="0" applyNumberFormat="1" applyFont="1" applyBorder="1"/>
    <xf numFmtId="169" fontId="32" fillId="5" borderId="7" xfId="0" applyNumberFormat="1" applyFont="1" applyFill="1" applyBorder="1"/>
    <xf numFmtId="169" fontId="60" fillId="0" borderId="5" xfId="0" applyNumberFormat="1" applyFont="1" applyBorder="1"/>
    <xf numFmtId="169" fontId="7" fillId="15" borderId="5" xfId="0" applyNumberFormat="1" applyFont="1" applyFill="1" applyBorder="1"/>
    <xf numFmtId="171" fontId="32" fillId="11" borderId="4" xfId="0" applyFont="1" applyFill="1" applyBorder="1"/>
    <xf numFmtId="171" fontId="32" fillId="5" borderId="8" xfId="0" applyFont="1" applyFill="1" applyBorder="1"/>
    <xf numFmtId="166" fontId="32" fillId="0" borderId="2" xfId="1" applyNumberFormat="1" applyFont="1" applyBorder="1"/>
    <xf numFmtId="165" fontId="7" fillId="19" borderId="4" xfId="1" applyNumberFormat="1" applyFont="1" applyFill="1" applyBorder="1" applyAlignment="1">
      <alignment horizontal="left"/>
    </xf>
    <xf numFmtId="165" fontId="7" fillId="20" borderId="4" xfId="1" applyNumberFormat="1" applyFont="1" applyFill="1" applyBorder="1" applyAlignment="1">
      <alignment horizontal="left"/>
    </xf>
    <xf numFmtId="165" fontId="32" fillId="15" borderId="0" xfId="1" applyNumberFormat="1" applyFont="1" applyFill="1" applyBorder="1" applyAlignment="1">
      <alignment horizontal="left"/>
    </xf>
    <xf numFmtId="165" fontId="32" fillId="6" borderId="0" xfId="1" applyNumberFormat="1" applyFont="1" applyFill="1" applyBorder="1"/>
    <xf numFmtId="171" fontId="7" fillId="23" borderId="0" xfId="0" applyFont="1" applyFill="1"/>
    <xf numFmtId="169" fontId="7" fillId="23" borderId="0" xfId="0" applyNumberFormat="1" applyFont="1" applyFill="1"/>
    <xf numFmtId="1" fontId="7" fillId="23" borderId="0" xfId="0" applyNumberFormat="1" applyFont="1" applyFill="1"/>
    <xf numFmtId="3" fontId="7" fillId="23" borderId="0" xfId="0" applyNumberFormat="1" applyFont="1" applyFill="1"/>
    <xf numFmtId="166" fontId="7" fillId="23" borderId="0" xfId="1" applyNumberFormat="1" applyFont="1" applyFill="1"/>
    <xf numFmtId="165" fontId="7" fillId="23" borderId="0" xfId="1" applyNumberFormat="1" applyFont="1" applyFill="1" applyAlignment="1">
      <alignment horizontal="left"/>
    </xf>
    <xf numFmtId="14" fontId="7" fillId="23" borderId="0" xfId="0" applyNumberFormat="1" applyFont="1" applyFill="1"/>
    <xf numFmtId="1" fontId="7" fillId="4" borderId="0" xfId="0" applyNumberFormat="1" applyFont="1" applyFill="1"/>
    <xf numFmtId="171" fontId="69" fillId="4" borderId="0" xfId="0" applyFont="1" applyFill="1"/>
    <xf numFmtId="171" fontId="18" fillId="0" borderId="0" xfId="0" applyFont="1"/>
    <xf numFmtId="166" fontId="6" fillId="2" borderId="6" xfId="0" applyNumberFormat="1" applyFont="1" applyFill="1" applyBorder="1"/>
    <xf numFmtId="171" fontId="6" fillId="0" borderId="7" xfId="0" applyFont="1" applyBorder="1"/>
    <xf numFmtId="168" fontId="6" fillId="0" borderId="8" xfId="3" applyNumberFormat="1" applyFont="1" applyBorder="1" applyAlignment="1">
      <alignment horizontal="right"/>
    </xf>
    <xf numFmtId="166" fontId="6" fillId="0" borderId="11" xfId="1" applyNumberFormat="1" applyFont="1" applyBorder="1" applyAlignment="1">
      <alignment horizontal="left" indent="3"/>
    </xf>
    <xf numFmtId="171" fontId="6" fillId="0" borderId="9" xfId="0" applyFont="1" applyBorder="1"/>
    <xf numFmtId="171" fontId="6" fillId="3" borderId="10" xfId="0" applyFont="1" applyFill="1" applyBorder="1"/>
    <xf numFmtId="166" fontId="6" fillId="0" borderId="0" xfId="0" applyNumberFormat="1" applyFont="1"/>
    <xf numFmtId="166" fontId="6" fillId="4" borderId="0" xfId="0" applyNumberFormat="1" applyFont="1" applyFill="1"/>
    <xf numFmtId="171" fontId="6" fillId="0" borderId="2" xfId="0" applyFont="1" applyBorder="1"/>
    <xf numFmtId="169" fontId="6" fillId="0" borderId="2" xfId="0" applyNumberFormat="1" applyFont="1" applyBorder="1"/>
    <xf numFmtId="1" fontId="6" fillId="0" borderId="2" xfId="0" applyNumberFormat="1" applyFont="1" applyBorder="1"/>
    <xf numFmtId="171" fontId="7" fillId="0" borderId="2" xfId="0" applyFont="1" applyBorder="1"/>
    <xf numFmtId="1" fontId="7" fillId="0" borderId="2" xfId="0" applyNumberFormat="1" applyFont="1" applyBorder="1"/>
    <xf numFmtId="1" fontId="7" fillId="4" borderId="1" xfId="0" applyNumberFormat="1" applyFont="1" applyFill="1" applyBorder="1"/>
    <xf numFmtId="1" fontId="10" fillId="4" borderId="0" xfId="0" applyNumberFormat="1" applyFont="1" applyFill="1"/>
    <xf numFmtId="171" fontId="7" fillId="0" borderId="6" xfId="0" applyFont="1" applyBorder="1"/>
    <xf numFmtId="166" fontId="6" fillId="0" borderId="11" xfId="1" applyNumberFormat="1" applyFont="1" applyBorder="1"/>
    <xf numFmtId="171" fontId="6" fillId="0" borderId="4" xfId="0" applyFont="1" applyBorder="1"/>
    <xf numFmtId="20" fontId="6" fillId="0" borderId="0" xfId="0" applyNumberFormat="1" applyFont="1"/>
    <xf numFmtId="171" fontId="7" fillId="0" borderId="7" xfId="0" applyFont="1" applyBorder="1" applyAlignment="1">
      <alignment horizontal="left"/>
    </xf>
    <xf numFmtId="166" fontId="6" fillId="4" borderId="2" xfId="0" applyNumberFormat="1" applyFont="1" applyFill="1" applyBorder="1"/>
    <xf numFmtId="169" fontId="6" fillId="0" borderId="7" xfId="0" applyNumberFormat="1" applyFont="1" applyBorder="1"/>
    <xf numFmtId="171" fontId="6" fillId="3" borderId="8" xfId="0" applyFont="1" applyFill="1" applyBorder="1"/>
    <xf numFmtId="171" fontId="6" fillId="0" borderId="8" xfId="0" applyFont="1" applyBorder="1"/>
    <xf numFmtId="171" fontId="8" fillId="0" borderId="5" xfId="0" applyFont="1" applyBorder="1"/>
    <xf numFmtId="171" fontId="7" fillId="0" borderId="1" xfId="0" applyFont="1" applyBorder="1"/>
    <xf numFmtId="169" fontId="7" fillId="0" borderId="1" xfId="0" applyNumberFormat="1" applyFont="1" applyBorder="1"/>
    <xf numFmtId="1" fontId="7" fillId="0" borderId="1" xfId="0" applyNumberFormat="1" applyFont="1" applyBorder="1"/>
    <xf numFmtId="1" fontId="7" fillId="4" borderId="2" xfId="0" applyNumberFormat="1" applyFont="1" applyFill="1" applyBorder="1"/>
    <xf numFmtId="166" fontId="7" fillId="0" borderId="0" xfId="0" applyNumberFormat="1" applyFont="1"/>
    <xf numFmtId="44" fontId="7" fillId="0" borderId="0" xfId="1" applyFont="1"/>
    <xf numFmtId="8" fontId="6" fillId="0" borderId="0" xfId="0" applyNumberFormat="1" applyFont="1"/>
    <xf numFmtId="166" fontId="6" fillId="0" borderId="6" xfId="0" applyNumberFormat="1" applyFont="1" applyBorder="1"/>
    <xf numFmtId="166" fontId="6" fillId="0" borderId="8" xfId="0" applyNumberFormat="1" applyFont="1" applyBorder="1"/>
    <xf numFmtId="171" fontId="6" fillId="0" borderId="7" xfId="0" applyFont="1" applyBorder="1" applyAlignment="1">
      <alignment horizontal="left"/>
    </xf>
    <xf numFmtId="1" fontId="7" fillId="5" borderId="0" xfId="0" applyNumberFormat="1" applyFont="1" applyFill="1"/>
    <xf numFmtId="1" fontId="7" fillId="6" borderId="0" xfId="0" applyNumberFormat="1" applyFont="1" applyFill="1"/>
    <xf numFmtId="10" fontId="7" fillId="0" borderId="0" xfId="0" applyNumberFormat="1" applyFont="1"/>
    <xf numFmtId="171" fontId="70" fillId="4" borderId="0" xfId="0" applyFont="1" applyFill="1"/>
    <xf numFmtId="170" fontId="6" fillId="0" borderId="0" xfId="0" applyNumberFormat="1" applyFont="1"/>
    <xf numFmtId="171" fontId="71" fillId="4" borderId="0" xfId="0" applyFont="1" applyFill="1"/>
    <xf numFmtId="171" fontId="7" fillId="0" borderId="0" xfId="0" applyFont="1" applyAlignment="1">
      <alignment horizontal="left" indent="2"/>
    </xf>
    <xf numFmtId="171" fontId="73" fillId="0" borderId="0" xfId="0" applyFont="1"/>
    <xf numFmtId="166" fontId="7" fillId="0" borderId="4" xfId="1" applyNumberFormat="1" applyFont="1" applyBorder="1" applyAlignment="1">
      <alignment horizontal="left"/>
    </xf>
    <xf numFmtId="171" fontId="70" fillId="0" borderId="0" xfId="0" applyFont="1"/>
    <xf numFmtId="166" fontId="9" fillId="0" borderId="4" xfId="1" applyNumberFormat="1" applyFont="1" applyBorder="1"/>
    <xf numFmtId="44" fontId="6" fillId="0" borderId="4" xfId="1" applyFont="1" applyBorder="1" applyAlignment="1">
      <alignment horizontal="left"/>
    </xf>
    <xf numFmtId="165" fontId="7" fillId="0" borderId="0" xfId="0" applyNumberFormat="1" applyFont="1"/>
    <xf numFmtId="15" fontId="7" fillId="0" borderId="0" xfId="0" applyNumberFormat="1" applyFont="1"/>
    <xf numFmtId="1" fontId="7" fillId="7" borderId="0" xfId="0" applyNumberFormat="1" applyFont="1" applyFill="1"/>
    <xf numFmtId="171" fontId="71" fillId="0" borderId="0" xfId="0" applyFont="1"/>
    <xf numFmtId="44" fontId="7" fillId="0" borderId="4" xfId="1" applyFont="1" applyBorder="1" applyAlignment="1">
      <alignment horizontal="left"/>
    </xf>
    <xf numFmtId="169" fontId="7" fillId="0" borderId="2" xfId="0" applyNumberFormat="1" applyFont="1" applyBorder="1"/>
    <xf numFmtId="171" fontId="7" fillId="8" borderId="0" xfId="0" applyFont="1" applyFill="1"/>
    <xf numFmtId="169" fontId="7" fillId="8" borderId="0" xfId="0" applyNumberFormat="1" applyFont="1" applyFill="1"/>
    <xf numFmtId="1" fontId="7" fillId="8" borderId="0" xfId="0" applyNumberFormat="1" applyFont="1" applyFill="1"/>
    <xf numFmtId="171" fontId="19" fillId="8" borderId="0" xfId="2" applyFont="1" applyFill="1" applyAlignment="1" applyProtection="1"/>
    <xf numFmtId="165" fontId="7" fillId="8" borderId="4" xfId="1" applyNumberFormat="1" applyFont="1" applyFill="1" applyBorder="1" applyAlignment="1">
      <alignment horizontal="left"/>
    </xf>
    <xf numFmtId="14" fontId="7" fillId="8" borderId="0" xfId="0" applyNumberFormat="1" applyFont="1" applyFill="1"/>
    <xf numFmtId="10" fontId="7" fillId="0" borderId="0" xfId="5" applyNumberFormat="1" applyFont="1"/>
    <xf numFmtId="167" fontId="6" fillId="0" borderId="8" xfId="3" applyNumberFormat="1" applyFont="1" applyBorder="1" applyAlignment="1">
      <alignment horizontal="right"/>
    </xf>
    <xf numFmtId="16" fontId="7" fillId="10" borderId="0" xfId="0" applyNumberFormat="1" applyFont="1" applyFill="1"/>
    <xf numFmtId="171" fontId="74" fillId="10" borderId="0" xfId="0" applyFont="1" applyFill="1"/>
    <xf numFmtId="3" fontId="75" fillId="10" borderId="0" xfId="0" applyNumberFormat="1" applyFont="1" applyFill="1"/>
    <xf numFmtId="3" fontId="76" fillId="0" borderId="0" xfId="0" applyNumberFormat="1" applyFont="1"/>
    <xf numFmtId="171" fontId="7" fillId="13" borderId="0" xfId="0" applyFont="1" applyFill="1"/>
    <xf numFmtId="169" fontId="7" fillId="13" borderId="0" xfId="0" applyNumberFormat="1" applyFont="1" applyFill="1"/>
    <xf numFmtId="1" fontId="7" fillId="13" borderId="0" xfId="0" applyNumberFormat="1" applyFont="1" applyFill="1"/>
    <xf numFmtId="171" fontId="19" fillId="13" borderId="0" xfId="2" applyFont="1" applyFill="1" applyAlignment="1" applyProtection="1"/>
    <xf numFmtId="165" fontId="7" fillId="13" borderId="4" xfId="1" applyNumberFormat="1" applyFont="1" applyFill="1" applyBorder="1" applyAlignment="1">
      <alignment horizontal="left"/>
    </xf>
    <xf numFmtId="14" fontId="7" fillId="13" borderId="0" xfId="0" applyNumberFormat="1" applyFont="1" applyFill="1"/>
    <xf numFmtId="171" fontId="7" fillId="11" borderId="0" xfId="0" applyFont="1" applyFill="1"/>
    <xf numFmtId="169" fontId="7" fillId="11" borderId="0" xfId="0" applyNumberFormat="1" applyFont="1" applyFill="1"/>
    <xf numFmtId="1" fontId="7" fillId="11" borderId="0" xfId="0" applyNumberFormat="1" applyFont="1" applyFill="1"/>
    <xf numFmtId="3" fontId="7" fillId="11" borderId="0" xfId="0" applyNumberFormat="1" applyFont="1" applyFill="1"/>
    <xf numFmtId="166" fontId="7" fillId="11" borderId="0" xfId="1" applyNumberFormat="1" applyFont="1" applyFill="1"/>
    <xf numFmtId="165" fontId="7" fillId="11" borderId="4" xfId="1" applyNumberFormat="1" applyFont="1" applyFill="1" applyBorder="1" applyAlignment="1">
      <alignment horizontal="left"/>
    </xf>
    <xf numFmtId="14" fontId="7" fillId="11" borderId="0" xfId="0" applyNumberFormat="1" applyFont="1" applyFill="1"/>
    <xf numFmtId="171" fontId="7" fillId="12" borderId="0" xfId="0" applyFont="1" applyFill="1"/>
    <xf numFmtId="169" fontId="7" fillId="12" borderId="0" xfId="0" applyNumberFormat="1" applyFont="1" applyFill="1"/>
    <xf numFmtId="1" fontId="7" fillId="12" borderId="0" xfId="0" applyNumberFormat="1" applyFont="1" applyFill="1"/>
    <xf numFmtId="14" fontId="7" fillId="12" borderId="0" xfId="0" applyNumberFormat="1" applyFont="1" applyFill="1"/>
    <xf numFmtId="3" fontId="7" fillId="13" borderId="0" xfId="0" applyNumberFormat="1" applyFont="1" applyFill="1"/>
    <xf numFmtId="171" fontId="19" fillId="14" borderId="0" xfId="2" applyFont="1" applyFill="1" applyAlignment="1" applyProtection="1"/>
    <xf numFmtId="2" fontId="6" fillId="3" borderId="6" xfId="0" applyNumberFormat="1" applyFont="1" applyFill="1" applyBorder="1"/>
    <xf numFmtId="171" fontId="6" fillId="0" borderId="12" xfId="0" applyFont="1" applyBorder="1"/>
    <xf numFmtId="2" fontId="6" fillId="9" borderId="13" xfId="0" applyNumberFormat="1" applyFont="1" applyFill="1" applyBorder="1"/>
    <xf numFmtId="166" fontId="6" fillId="0" borderId="4" xfId="0" applyNumberFormat="1" applyFont="1" applyBorder="1"/>
    <xf numFmtId="1" fontId="6" fillId="3" borderId="8" xfId="0" applyNumberFormat="1" applyFont="1" applyFill="1" applyBorder="1"/>
    <xf numFmtId="171" fontId="77" fillId="0" borderId="0" xfId="0" applyFont="1"/>
    <xf numFmtId="1" fontId="77" fillId="0" borderId="0" xfId="0" applyNumberFormat="1" applyFont="1"/>
    <xf numFmtId="2" fontId="77" fillId="0" borderId="0" xfId="0" applyNumberFormat="1" applyFont="1"/>
    <xf numFmtId="8" fontId="17" fillId="10" borderId="4" xfId="0" applyNumberFormat="1" applyFont="1" applyFill="1" applyBorder="1"/>
    <xf numFmtId="171" fontId="20" fillId="11" borderId="0" xfId="2" applyFont="1" applyFill="1" applyAlignment="1" applyProtection="1"/>
    <xf numFmtId="171" fontId="19" fillId="11" borderId="0" xfId="2" applyFont="1" applyFill="1" applyAlignment="1" applyProtection="1"/>
    <xf numFmtId="172" fontId="7" fillId="0" borderId="0" xfId="0" applyNumberFormat="1" applyFont="1"/>
    <xf numFmtId="171" fontId="20" fillId="16" borderId="0" xfId="2" applyFont="1" applyFill="1" applyAlignment="1" applyProtection="1"/>
    <xf numFmtId="171" fontId="78" fillId="0" borderId="0" xfId="0" applyFont="1" applyAlignment="1">
      <alignment vertical="center"/>
    </xf>
    <xf numFmtId="171" fontId="79" fillId="0" borderId="0" xfId="0" applyFont="1" applyAlignment="1">
      <alignment vertical="center"/>
    </xf>
    <xf numFmtId="171" fontId="19" fillId="20" borderId="0" xfId="2" applyFont="1" applyFill="1" applyAlignment="1" applyProtection="1"/>
    <xf numFmtId="171" fontId="76" fillId="15" borderId="0" xfId="0" applyFont="1" applyFill="1" applyAlignment="1">
      <alignment vertical="center"/>
    </xf>
    <xf numFmtId="171" fontId="19" fillId="21" borderId="0" xfId="2" applyFont="1" applyFill="1" applyAlignment="1" applyProtection="1"/>
    <xf numFmtId="0" fontId="20" fillId="0" borderId="0" xfId="2" applyNumberFormat="1" applyFont="1" applyAlignment="1" applyProtection="1"/>
    <xf numFmtId="0" fontId="6" fillId="0" borderId="0" xfId="0" applyNumberFormat="1" applyFont="1"/>
    <xf numFmtId="0" fontId="78" fillId="0" borderId="0" xfId="0" applyNumberFormat="1" applyFont="1" applyAlignment="1">
      <alignment vertical="center"/>
    </xf>
    <xf numFmtId="0" fontId="63" fillId="0" borderId="0" xfId="0" applyNumberFormat="1" applyFont="1"/>
    <xf numFmtId="0" fontId="67" fillId="0" borderId="0" xfId="0" applyNumberFormat="1" applyFont="1"/>
    <xf numFmtId="171" fontId="19" fillId="19" borderId="0" xfId="2" applyFont="1" applyFill="1" applyAlignment="1" applyProtection="1"/>
    <xf numFmtId="171" fontId="19" fillId="22" borderId="0" xfId="2" applyFont="1" applyFill="1" applyAlignment="1" applyProtection="1"/>
    <xf numFmtId="173" fontId="7" fillId="4" borderId="0" xfId="0" applyNumberFormat="1" applyFont="1" applyFill="1"/>
    <xf numFmtId="173" fontId="7" fillId="0" borderId="2" xfId="0" applyNumberFormat="1" applyFont="1" applyBorder="1"/>
    <xf numFmtId="173" fontId="7" fillId="4" borderId="1" xfId="0" applyNumberFormat="1" applyFont="1" applyFill="1" applyBorder="1"/>
    <xf numFmtId="173" fontId="10" fillId="4" borderId="0" xfId="0" applyNumberFormat="1" applyFont="1" applyFill="1"/>
    <xf numFmtId="173" fontId="7" fillId="0" borderId="1" xfId="0" applyNumberFormat="1" applyFont="1" applyBorder="1"/>
    <xf numFmtId="173" fontId="7" fillId="4" borderId="2" xfId="0" applyNumberFormat="1" applyFont="1" applyFill="1" applyBorder="1"/>
    <xf numFmtId="173" fontId="7" fillId="5" borderId="0" xfId="0" applyNumberFormat="1" applyFont="1" applyFill="1"/>
    <xf numFmtId="173" fontId="7" fillId="6" borderId="0" xfId="0" applyNumberFormat="1" applyFont="1" applyFill="1"/>
    <xf numFmtId="173" fontId="7" fillId="7" borderId="0" xfId="0" applyNumberFormat="1" applyFont="1" applyFill="1"/>
    <xf numFmtId="173" fontId="7" fillId="8" borderId="0" xfId="0" applyNumberFormat="1" applyFont="1" applyFill="1"/>
    <xf numFmtId="173" fontId="7" fillId="13" borderId="0" xfId="0" applyNumberFormat="1" applyFont="1" applyFill="1"/>
    <xf numFmtId="173" fontId="7" fillId="11" borderId="0" xfId="0" applyNumberFormat="1" applyFont="1" applyFill="1"/>
    <xf numFmtId="173" fontId="7" fillId="12" borderId="0" xfId="0" applyNumberFormat="1" applyFont="1" applyFill="1"/>
    <xf numFmtId="173" fontId="7" fillId="14" borderId="0" xfId="0" applyNumberFormat="1" applyFont="1" applyFill="1"/>
    <xf numFmtId="173" fontId="77" fillId="0" borderId="0" xfId="0" applyNumberFormat="1" applyFont="1"/>
    <xf numFmtId="173" fontId="7" fillId="15" borderId="0" xfId="0" applyNumberFormat="1" applyFont="1" applyFill="1"/>
    <xf numFmtId="173" fontId="7" fillId="16" borderId="0" xfId="0" applyNumberFormat="1" applyFont="1" applyFill="1"/>
    <xf numFmtId="173" fontId="7" fillId="20" borderId="0" xfId="0" applyNumberFormat="1" applyFont="1" applyFill="1"/>
    <xf numFmtId="173" fontId="7" fillId="21" borderId="0" xfId="0" applyNumberFormat="1" applyFont="1" applyFill="1"/>
    <xf numFmtId="173" fontId="6" fillId="0" borderId="2" xfId="0" applyNumberFormat="1" applyFont="1" applyBorder="1"/>
    <xf numFmtId="171" fontId="63" fillId="23" borderId="0" xfId="0" applyFont="1" applyFill="1"/>
    <xf numFmtId="171" fontId="19" fillId="23" borderId="0" xfId="2" applyFont="1" applyFill="1" applyAlignment="1" applyProtection="1"/>
    <xf numFmtId="173" fontId="7" fillId="23" borderId="0" xfId="0" applyNumberFormat="1" applyFont="1" applyFill="1"/>
    <xf numFmtId="165" fontId="7" fillId="23" borderId="4" xfId="1" applyNumberFormat="1" applyFont="1" applyFill="1" applyBorder="1" applyAlignment="1">
      <alignment horizontal="left"/>
    </xf>
    <xf numFmtId="171" fontId="7" fillId="24" borderId="0" xfId="0" applyFont="1" applyFill="1"/>
    <xf numFmtId="169" fontId="7" fillId="24" borderId="0" xfId="0" applyNumberFormat="1" applyFont="1" applyFill="1"/>
    <xf numFmtId="1" fontId="7" fillId="24" borderId="0" xfId="0" applyNumberFormat="1" applyFont="1" applyFill="1"/>
    <xf numFmtId="171" fontId="19" fillId="24" borderId="0" xfId="2" applyFont="1" applyFill="1" applyAlignment="1" applyProtection="1"/>
    <xf numFmtId="166" fontId="7" fillId="24" borderId="0" xfId="1" applyNumberFormat="1" applyFont="1" applyFill="1"/>
    <xf numFmtId="173" fontId="7" fillId="24" borderId="0" xfId="0" applyNumberFormat="1" applyFont="1" applyFill="1"/>
    <xf numFmtId="165" fontId="7" fillId="24" borderId="4" xfId="1" applyNumberFormat="1" applyFont="1" applyFill="1" applyBorder="1" applyAlignment="1">
      <alignment horizontal="left"/>
    </xf>
    <xf numFmtId="14" fontId="7" fillId="24" borderId="0" xfId="0" applyNumberFormat="1" applyFont="1" applyFill="1"/>
    <xf numFmtId="173" fontId="6" fillId="0" borderId="0" xfId="0" applyNumberFormat="1" applyFont="1"/>
    <xf numFmtId="1" fontId="6" fillId="14" borderId="0" xfId="0" applyNumberFormat="1" applyFont="1" applyFill="1"/>
    <xf numFmtId="1" fontId="7" fillId="25" borderId="0" xfId="0" applyNumberFormat="1" applyFont="1" applyFill="1"/>
    <xf numFmtId="1" fontId="6" fillId="25" borderId="0" xfId="0" applyNumberFormat="1" applyFont="1" applyFill="1"/>
    <xf numFmtId="171" fontId="7" fillId="25" borderId="0" xfId="0" applyFont="1" applyFill="1"/>
    <xf numFmtId="1" fontId="80" fillId="0" borderId="0" xfId="0" applyNumberFormat="1" applyFont="1"/>
    <xf numFmtId="1" fontId="80" fillId="14" borderId="0" xfId="0" applyNumberFormat="1" applyFont="1" applyFill="1"/>
    <xf numFmtId="1" fontId="80" fillId="25" borderId="0" xfId="0" applyNumberFormat="1" applyFont="1" applyFill="1"/>
    <xf numFmtId="165" fontId="7" fillId="0" borderId="0" xfId="1" applyNumberFormat="1" applyFont="1" applyFill="1" applyAlignment="1">
      <alignment horizontal="left"/>
    </xf>
    <xf numFmtId="2" fontId="6" fillId="0" borderId="6" xfId="0" applyNumberFormat="1" applyFont="1" applyBorder="1"/>
    <xf numFmtId="0" fontId="7" fillId="10" borderId="4" xfId="0" applyNumberFormat="1" applyFont="1" applyFill="1" applyBorder="1"/>
    <xf numFmtId="0" fontId="7" fillId="0" borderId="4" xfId="0" applyNumberFormat="1" applyFont="1" applyBorder="1"/>
    <xf numFmtId="0" fontId="6" fillId="0" borderId="0" xfId="0" applyNumberFormat="1" applyFont="1" applyAlignment="1">
      <alignment horizontal="left"/>
    </xf>
    <xf numFmtId="0" fontId="7" fillId="10" borderId="0" xfId="0" applyNumberFormat="1" applyFont="1" applyFill="1"/>
    <xf numFmtId="0" fontId="6" fillId="2" borderId="6" xfId="0" applyNumberFormat="1" applyFont="1" applyFill="1" applyBorder="1"/>
    <xf numFmtId="171" fontId="81" fillId="10" borderId="0" xfId="0" applyFont="1" applyFill="1"/>
    <xf numFmtId="169" fontId="81" fillId="10" borderId="0" xfId="0" applyNumberFormat="1" applyFont="1" applyFill="1"/>
    <xf numFmtId="1" fontId="81" fillId="10" borderId="0" xfId="0" applyNumberFormat="1" applyFont="1" applyFill="1"/>
    <xf numFmtId="3" fontId="81" fillId="10" borderId="0" xfId="0" applyNumberFormat="1" applyFont="1" applyFill="1"/>
    <xf numFmtId="166" fontId="81" fillId="10" borderId="0" xfId="1" applyNumberFormat="1" applyFont="1" applyFill="1"/>
    <xf numFmtId="165" fontId="81" fillId="10" borderId="0" xfId="1" applyNumberFormat="1" applyFont="1" applyFill="1" applyAlignment="1">
      <alignment horizontal="left"/>
    </xf>
    <xf numFmtId="14" fontId="81" fillId="10" borderId="0" xfId="0" applyNumberFormat="1" applyFont="1" applyFill="1"/>
    <xf numFmtId="165" fontId="7" fillId="24" borderId="0" xfId="1" applyNumberFormat="1" applyFont="1" applyFill="1" applyAlignment="1">
      <alignment horizontal="left"/>
    </xf>
    <xf numFmtId="0" fontId="83" fillId="0" borderId="0" xfId="0" applyNumberFormat="1" applyFont="1"/>
    <xf numFmtId="171" fontId="84" fillId="0" borderId="0" xfId="0" applyFont="1"/>
    <xf numFmtId="10" fontId="6" fillId="0" borderId="0" xfId="5" applyNumberFormat="1" applyFont="1"/>
    <xf numFmtId="171" fontId="67" fillId="15" borderId="0" xfId="0" applyFont="1" applyFill="1"/>
    <xf numFmtId="171" fontId="67" fillId="10" borderId="0" xfId="0" applyFont="1" applyFill="1"/>
    <xf numFmtId="171" fontId="67" fillId="17" borderId="0" xfId="0" applyFont="1" applyFill="1"/>
    <xf numFmtId="171" fontId="67" fillId="22" borderId="0" xfId="0" applyFont="1" applyFill="1"/>
    <xf numFmtId="171" fontId="67" fillId="21" borderId="0" xfId="0" applyFont="1" applyFill="1"/>
    <xf numFmtId="171" fontId="7" fillId="26" borderId="0" xfId="0" applyFont="1" applyFill="1"/>
    <xf numFmtId="169" fontId="7" fillId="26" borderId="0" xfId="0" applyNumberFormat="1" applyFont="1" applyFill="1"/>
    <xf numFmtId="1" fontId="7" fillId="26" borderId="0" xfId="0" applyNumberFormat="1" applyFont="1" applyFill="1"/>
    <xf numFmtId="3" fontId="7" fillId="26" borderId="0" xfId="0" applyNumberFormat="1" applyFont="1" applyFill="1"/>
    <xf numFmtId="166" fontId="7" fillId="26" borderId="0" xfId="1" applyNumberFormat="1" applyFont="1" applyFill="1"/>
    <xf numFmtId="165" fontId="7" fillId="26" borderId="0" xfId="1" applyNumberFormat="1" applyFont="1" applyFill="1" applyAlignment="1">
      <alignment horizontal="left"/>
    </xf>
    <xf numFmtId="14" fontId="7" fillId="26" borderId="0" xfId="0" applyNumberFormat="1" applyFont="1" applyFill="1"/>
    <xf numFmtId="171" fontId="81" fillId="22" borderId="0" xfId="0" applyFont="1" applyFill="1"/>
    <xf numFmtId="169" fontId="81" fillId="22" borderId="0" xfId="0" applyNumberFormat="1" applyFont="1" applyFill="1"/>
    <xf numFmtId="1" fontId="81" fillId="22" borderId="0" xfId="0" applyNumberFormat="1" applyFont="1" applyFill="1"/>
    <xf numFmtId="3" fontId="81" fillId="22" borderId="0" xfId="0" applyNumberFormat="1" applyFont="1" applyFill="1"/>
    <xf numFmtId="166" fontId="81" fillId="22" borderId="0" xfId="1" applyNumberFormat="1" applyFont="1" applyFill="1"/>
    <xf numFmtId="165" fontId="81" fillId="22" borderId="0" xfId="1" applyNumberFormat="1" applyFont="1" applyFill="1" applyAlignment="1">
      <alignment horizontal="left"/>
    </xf>
    <xf numFmtId="14" fontId="81" fillId="22" borderId="0" xfId="0" applyNumberFormat="1" applyFont="1" applyFill="1"/>
    <xf numFmtId="171" fontId="20" fillId="14" borderId="0" xfId="2" applyFont="1" applyFill="1" applyAlignment="1" applyProtection="1"/>
    <xf numFmtId="171" fontId="7" fillId="27" borderId="0" xfId="0" applyFont="1" applyFill="1"/>
    <xf numFmtId="169" fontId="7" fillId="27" borderId="0" xfId="0" applyNumberFormat="1" applyFont="1" applyFill="1"/>
    <xf numFmtId="1" fontId="7" fillId="27" borderId="0" xfId="0" applyNumberFormat="1" applyFont="1" applyFill="1"/>
    <xf numFmtId="171" fontId="19" fillId="27" borderId="0" xfId="2" applyFont="1" applyFill="1" applyAlignment="1" applyProtection="1"/>
    <xf numFmtId="173" fontId="7" fillId="27" borderId="0" xfId="0" applyNumberFormat="1" applyFont="1" applyFill="1"/>
    <xf numFmtId="14" fontId="7" fillId="27" borderId="0" xfId="0" applyNumberFormat="1" applyFont="1" applyFill="1"/>
    <xf numFmtId="165" fontId="7" fillId="11" borderId="0" xfId="1" applyNumberFormat="1" applyFont="1" applyFill="1" applyAlignment="1">
      <alignment horizontal="left"/>
    </xf>
    <xf numFmtId="171" fontId="65" fillId="10" borderId="0" xfId="0" applyFont="1" applyFill="1"/>
    <xf numFmtId="171" fontId="7" fillId="28" borderId="0" xfId="0" applyFont="1" applyFill="1"/>
    <xf numFmtId="169" fontId="7" fillId="28" borderId="0" xfId="0" applyNumberFormat="1" applyFont="1" applyFill="1"/>
    <xf numFmtId="1" fontId="7" fillId="28" borderId="0" xfId="0" applyNumberFormat="1" applyFont="1" applyFill="1"/>
    <xf numFmtId="171" fontId="63" fillId="28" borderId="0" xfId="0" applyFont="1" applyFill="1"/>
    <xf numFmtId="3" fontId="7" fillId="28" borderId="0" xfId="0" applyNumberFormat="1" applyFont="1" applyFill="1"/>
    <xf numFmtId="171" fontId="19" fillId="28" borderId="0" xfId="2" applyFont="1" applyFill="1" applyAlignment="1" applyProtection="1"/>
    <xf numFmtId="173" fontId="7" fillId="28" borderId="0" xfId="0" applyNumberFormat="1" applyFont="1" applyFill="1"/>
    <xf numFmtId="14" fontId="7" fillId="28" borderId="0" xfId="0" applyNumberFormat="1" applyFont="1" applyFill="1"/>
    <xf numFmtId="171" fontId="65" fillId="14" borderId="0" xfId="0" applyFont="1" applyFill="1"/>
    <xf numFmtId="171" fontId="0" fillId="14" borderId="0" xfId="0" applyFill="1"/>
    <xf numFmtId="171" fontId="1" fillId="14" borderId="0" xfId="0" applyFont="1" applyFill="1"/>
    <xf numFmtId="171" fontId="7" fillId="29" borderId="0" xfId="0" applyFont="1" applyFill="1"/>
    <xf numFmtId="169" fontId="7" fillId="29" borderId="0" xfId="0" applyNumberFormat="1" applyFont="1" applyFill="1"/>
    <xf numFmtId="166" fontId="7" fillId="29" borderId="0" xfId="1" applyNumberFormat="1" applyFont="1" applyFill="1"/>
    <xf numFmtId="1" fontId="7" fillId="29" borderId="0" xfId="0" applyNumberFormat="1" applyFont="1" applyFill="1"/>
    <xf numFmtId="165" fontId="7" fillId="29" borderId="0" xfId="1" applyNumberFormat="1" applyFont="1" applyFill="1" applyAlignment="1">
      <alignment horizontal="left"/>
    </xf>
    <xf numFmtId="14" fontId="7" fillId="29" borderId="0" xfId="0" applyNumberFormat="1" applyFont="1" applyFill="1"/>
    <xf numFmtId="171" fontId="67" fillId="29" borderId="0" xfId="0" applyFont="1" applyFill="1"/>
    <xf numFmtId="171" fontId="63" fillId="21" borderId="0" xfId="0" applyFont="1" applyFill="1"/>
    <xf numFmtId="165" fontId="7" fillId="21" borderId="0" xfId="1" applyNumberFormat="1" applyFont="1" applyFill="1" applyAlignment="1">
      <alignment horizontal="left"/>
    </xf>
    <xf numFmtId="171" fontId="85" fillId="21" borderId="0" xfId="0" applyFont="1" applyFill="1"/>
    <xf numFmtId="171" fontId="86" fillId="10" borderId="0" xfId="0" applyFont="1" applyFill="1"/>
    <xf numFmtId="169" fontId="86" fillId="10" borderId="0" xfId="0" applyNumberFormat="1" applyFont="1" applyFill="1"/>
    <xf numFmtId="171" fontId="87" fillId="10" borderId="0" xfId="0" applyFont="1" applyFill="1"/>
    <xf numFmtId="1" fontId="86" fillId="10" borderId="0" xfId="0" applyNumberFormat="1" applyFont="1" applyFill="1"/>
    <xf numFmtId="171" fontId="88" fillId="10" borderId="0" xfId="0" applyFont="1" applyFill="1"/>
    <xf numFmtId="173" fontId="86" fillId="10" borderId="0" xfId="0" applyNumberFormat="1" applyFont="1" applyFill="1"/>
    <xf numFmtId="165" fontId="86" fillId="10" borderId="0" xfId="1" applyNumberFormat="1" applyFont="1" applyFill="1" applyAlignment="1">
      <alignment horizontal="left"/>
    </xf>
    <xf numFmtId="14" fontId="86" fillId="10" borderId="0" xfId="0" applyNumberFormat="1" applyFont="1" applyFill="1"/>
    <xf numFmtId="171" fontId="89" fillId="10" borderId="0" xfId="0" applyFont="1" applyFill="1"/>
    <xf numFmtId="171" fontId="19" fillId="4" borderId="0" xfId="2" applyFont="1" applyFill="1" applyBorder="1" applyAlignment="1" applyProtection="1"/>
    <xf numFmtId="171" fontId="19" fillId="10" borderId="1" xfId="2" applyFont="1" applyFill="1" applyBorder="1" applyAlignment="1" applyProtection="1"/>
    <xf numFmtId="171" fontId="20" fillId="15" borderId="2" xfId="2" applyFont="1" applyFill="1" applyBorder="1" applyAlignment="1" applyProtection="1"/>
    <xf numFmtId="171" fontId="19" fillId="10" borderId="2" xfId="2" applyFont="1" applyFill="1" applyBorder="1" applyAlignment="1" applyProtection="1"/>
    <xf numFmtId="171" fontId="19" fillId="0" borderId="2" xfId="2" applyFont="1" applyBorder="1" applyAlignment="1" applyProtection="1"/>
    <xf numFmtId="169" fontId="28" fillId="0" borderId="0" xfId="0" applyNumberFormat="1" applyFont="1"/>
    <xf numFmtId="171" fontId="28" fillId="0" borderId="0" xfId="0" applyFont="1" applyAlignment="1">
      <alignment vertical="center"/>
    </xf>
    <xf numFmtId="1" fontId="28" fillId="0" borderId="0" xfId="0" applyNumberFormat="1" applyFont="1"/>
    <xf numFmtId="173" fontId="28" fillId="0" borderId="0" xfId="0" applyNumberFormat="1" applyFont="1"/>
    <xf numFmtId="165" fontId="28" fillId="0" borderId="4" xfId="1" applyNumberFormat="1" applyFont="1" applyFill="1" applyBorder="1" applyAlignment="1">
      <alignment horizontal="left"/>
    </xf>
    <xf numFmtId="0" fontId="6" fillId="0" borderId="3" xfId="0" applyNumberFormat="1" applyFont="1" applyBorder="1"/>
    <xf numFmtId="171" fontId="7" fillId="30" borderId="0" xfId="0" applyFont="1" applyFill="1"/>
    <xf numFmtId="169" fontId="7" fillId="30" borderId="0" xfId="0" applyNumberFormat="1" applyFont="1" applyFill="1"/>
    <xf numFmtId="1" fontId="7" fillId="30" borderId="0" xfId="0" applyNumberFormat="1" applyFont="1" applyFill="1"/>
    <xf numFmtId="3" fontId="7" fillId="30" borderId="0" xfId="0" applyNumberFormat="1" applyFont="1" applyFill="1"/>
    <xf numFmtId="171" fontId="19" fillId="30" borderId="0" xfId="2" applyFont="1" applyFill="1" applyAlignment="1" applyProtection="1"/>
    <xf numFmtId="166" fontId="7" fillId="30" borderId="0" xfId="1" applyNumberFormat="1" applyFont="1" applyFill="1"/>
    <xf numFmtId="165" fontId="7" fillId="30" borderId="0" xfId="1" applyNumberFormat="1" applyFont="1" applyFill="1" applyAlignment="1">
      <alignment horizontal="left"/>
    </xf>
    <xf numFmtId="14" fontId="7" fillId="30" borderId="0" xfId="0" applyNumberFormat="1" applyFont="1" applyFill="1"/>
    <xf numFmtId="171" fontId="63" fillId="14" borderId="0" xfId="0" applyFont="1" applyFill="1"/>
    <xf numFmtId="174" fontId="6" fillId="0" borderId="0" xfId="0" applyNumberFormat="1" applyFont="1"/>
    <xf numFmtId="174" fontId="7" fillId="4" borderId="0" xfId="1" applyNumberFormat="1" applyFont="1" applyFill="1"/>
    <xf numFmtId="174" fontId="7" fillId="0" borderId="0" xfId="1" applyNumberFormat="1" applyFont="1"/>
    <xf numFmtId="174" fontId="7" fillId="0" borderId="0" xfId="0" applyNumberFormat="1" applyFont="1"/>
    <xf numFmtId="174" fontId="6" fillId="0" borderId="2" xfId="0" applyNumberFormat="1" applyFont="1" applyBorder="1"/>
    <xf numFmtId="174" fontId="7" fillId="4" borderId="1" xfId="1" applyNumberFormat="1" applyFont="1" applyFill="1" applyBorder="1"/>
    <xf numFmtId="174" fontId="10" fillId="4" borderId="0" xfId="1" applyNumberFormat="1" applyFont="1" applyFill="1"/>
    <xf numFmtId="174" fontId="7" fillId="0" borderId="1" xfId="1" applyNumberFormat="1" applyFont="1" applyBorder="1"/>
    <xf numFmtId="174" fontId="7" fillId="4" borderId="0" xfId="0" applyNumberFormat="1" applyFont="1" applyFill="1"/>
    <xf numFmtId="174" fontId="7" fillId="4" borderId="2" xfId="1" applyNumberFormat="1" applyFont="1" applyFill="1" applyBorder="1"/>
    <xf numFmtId="174" fontId="7" fillId="5" borderId="0" xfId="1" applyNumberFormat="1" applyFont="1" applyFill="1"/>
    <xf numFmtId="174" fontId="7" fillId="6" borderId="0" xfId="1" applyNumberFormat="1" applyFont="1" applyFill="1"/>
    <xf numFmtId="174" fontId="7" fillId="7" borderId="0" xfId="1" applyNumberFormat="1" applyFont="1" applyFill="1"/>
    <xf numFmtId="174" fontId="7" fillId="0" borderId="2" xfId="0" applyNumberFormat="1" applyFont="1" applyBorder="1"/>
    <xf numFmtId="174" fontId="7" fillId="8" borderId="0" xfId="1" applyNumberFormat="1" applyFont="1" applyFill="1"/>
    <xf numFmtId="174" fontId="7" fillId="10" borderId="0" xfId="1" applyNumberFormat="1" applyFont="1" applyFill="1"/>
    <xf numFmtId="174" fontId="7" fillId="13" borderId="0" xfId="1" applyNumberFormat="1" applyFont="1" applyFill="1"/>
    <xf numFmtId="174" fontId="7" fillId="11" borderId="0" xfId="1" applyNumberFormat="1" applyFont="1" applyFill="1"/>
    <xf numFmtId="174" fontId="7" fillId="12" borderId="0" xfId="1" applyNumberFormat="1" applyFont="1" applyFill="1"/>
    <xf numFmtId="174" fontId="7" fillId="14" borderId="0" xfId="1" applyNumberFormat="1" applyFont="1" applyFill="1"/>
    <xf numFmtId="174" fontId="77" fillId="0" borderId="0" xfId="0" applyNumberFormat="1" applyFont="1"/>
    <xf numFmtId="174" fontId="7" fillId="10" borderId="0" xfId="0" applyNumberFormat="1" applyFont="1" applyFill="1"/>
    <xf numFmtId="174" fontId="7" fillId="11" borderId="0" xfId="0" applyNumberFormat="1" applyFont="1" applyFill="1"/>
    <xf numFmtId="174" fontId="9" fillId="0" borderId="0" xfId="1" applyNumberFormat="1" applyFont="1"/>
    <xf numFmtId="174" fontId="7" fillId="15" borderId="0" xfId="1" applyNumberFormat="1" applyFont="1" applyFill="1"/>
    <xf numFmtId="174" fontId="7" fillId="23" borderId="0" xfId="1" applyNumberFormat="1" applyFont="1" applyFill="1"/>
    <xf numFmtId="174" fontId="7" fillId="16" borderId="0" xfId="1" applyNumberFormat="1" applyFont="1" applyFill="1"/>
    <xf numFmtId="174" fontId="7" fillId="20" borderId="0" xfId="1" applyNumberFormat="1" applyFont="1" applyFill="1"/>
    <xf numFmtId="174" fontId="7" fillId="21" borderId="0" xfId="1" applyNumberFormat="1" applyFont="1" applyFill="1"/>
    <xf numFmtId="174" fontId="7" fillId="19" borderId="0" xfId="1" applyNumberFormat="1" applyFont="1" applyFill="1"/>
    <xf numFmtId="174" fontId="7" fillId="22" borderId="0" xfId="1" applyNumberFormat="1" applyFont="1" applyFill="1"/>
    <xf numFmtId="174" fontId="7" fillId="24" borderId="0" xfId="1" applyNumberFormat="1" applyFont="1" applyFill="1"/>
    <xf numFmtId="174" fontId="9" fillId="10" borderId="0" xfId="1" applyNumberFormat="1" applyFont="1" applyFill="1"/>
    <xf numFmtId="174" fontId="7" fillId="27" borderId="0" xfId="1" applyNumberFormat="1" applyFont="1" applyFill="1"/>
    <xf numFmtId="174" fontId="86" fillId="10" borderId="0" xfId="1" applyNumberFormat="1" applyFont="1" applyFill="1"/>
    <xf numFmtId="174" fontId="7" fillId="28" borderId="0" xfId="1" applyNumberFormat="1" applyFont="1" applyFill="1"/>
    <xf numFmtId="174" fontId="28" fillId="0" borderId="0" xfId="1" applyNumberFormat="1" applyFont="1" applyFill="1"/>
    <xf numFmtId="174" fontId="7" fillId="0" borderId="1" xfId="0" applyNumberFormat="1" applyFont="1" applyBorder="1"/>
    <xf numFmtId="5" fontId="6" fillId="2" borderId="6" xfId="0" applyNumberFormat="1" applyFont="1" applyFill="1" applyBorder="1"/>
    <xf numFmtId="171" fontId="77" fillId="14" borderId="3" xfId="0" applyFont="1" applyFill="1" applyBorder="1"/>
    <xf numFmtId="171" fontId="77" fillId="14" borderId="0" xfId="0" applyFont="1" applyFill="1"/>
    <xf numFmtId="169" fontId="77" fillId="14" borderId="0" xfId="0" applyNumberFormat="1" applyFont="1" applyFill="1" applyAlignment="1">
      <alignment horizontal="right"/>
    </xf>
    <xf numFmtId="169" fontId="77" fillId="14" borderId="0" xfId="0" applyNumberFormat="1" applyFont="1" applyFill="1"/>
    <xf numFmtId="1" fontId="77" fillId="14" borderId="0" xfId="0" applyNumberFormat="1" applyFont="1" applyFill="1"/>
    <xf numFmtId="3" fontId="77" fillId="14" borderId="0" xfId="0" applyNumberFormat="1" applyFont="1" applyFill="1"/>
    <xf numFmtId="171" fontId="90" fillId="14" borderId="0" xfId="2" applyFont="1" applyFill="1" applyAlignment="1" applyProtection="1"/>
    <xf numFmtId="174" fontId="77" fillId="14" borderId="0" xfId="1" applyNumberFormat="1" applyFont="1" applyFill="1"/>
    <xf numFmtId="173" fontId="77" fillId="14" borderId="0" xfId="0" applyNumberFormat="1" applyFont="1" applyFill="1"/>
    <xf numFmtId="0" fontId="77" fillId="14" borderId="4" xfId="0" applyNumberFormat="1" applyFont="1" applyFill="1" applyBorder="1"/>
    <xf numFmtId="171" fontId="81" fillId="14" borderId="0" xfId="0" applyFont="1" applyFill="1"/>
    <xf numFmtId="169" fontId="81" fillId="14" borderId="0" xfId="0" applyNumberFormat="1" applyFont="1" applyFill="1"/>
    <xf numFmtId="1" fontId="81" fillId="14" borderId="0" xfId="0" applyNumberFormat="1" applyFont="1" applyFill="1"/>
    <xf numFmtId="3" fontId="81" fillId="14" borderId="0" xfId="0" applyNumberFormat="1" applyFont="1" applyFill="1"/>
    <xf numFmtId="166" fontId="81" fillId="14" borderId="0" xfId="1" applyNumberFormat="1" applyFont="1" applyFill="1"/>
    <xf numFmtId="165" fontId="81" fillId="14" borderId="0" xfId="1" applyNumberFormat="1" applyFont="1" applyFill="1" applyAlignment="1">
      <alignment horizontal="left"/>
    </xf>
    <xf numFmtId="14" fontId="81" fillId="14" borderId="0" xfId="0" applyNumberFormat="1" applyFont="1" applyFill="1"/>
    <xf numFmtId="0" fontId="91" fillId="15" borderId="3" xfId="0" applyNumberFormat="1" applyFont="1" applyFill="1" applyBorder="1"/>
    <xf numFmtId="171" fontId="81" fillId="15" borderId="0" xfId="0" applyFont="1" applyFill="1"/>
    <xf numFmtId="169" fontId="81" fillId="15" borderId="0" xfId="0" applyNumberFormat="1" applyFont="1" applyFill="1"/>
    <xf numFmtId="1" fontId="81" fillId="15" borderId="0" xfId="0" applyNumberFormat="1" applyFont="1" applyFill="1"/>
    <xf numFmtId="3" fontId="81" fillId="15" borderId="0" xfId="0" applyNumberFormat="1" applyFont="1" applyFill="1"/>
    <xf numFmtId="171" fontId="82" fillId="15" borderId="0" xfId="2" applyFont="1" applyFill="1" applyAlignment="1" applyProtection="1"/>
    <xf numFmtId="174" fontId="81" fillId="15" borderId="0" xfId="1" applyNumberFormat="1" applyFont="1" applyFill="1"/>
    <xf numFmtId="173" fontId="81" fillId="15" borderId="0" xfId="0" applyNumberFormat="1" applyFont="1" applyFill="1"/>
    <xf numFmtId="0" fontId="81" fillId="15" borderId="4" xfId="0" applyNumberFormat="1" applyFont="1" applyFill="1" applyBorder="1"/>
    <xf numFmtId="171" fontId="92" fillId="0" borderId="0" xfId="0" applyFont="1"/>
    <xf numFmtId="175" fontId="0" fillId="0" borderId="0" xfId="0" applyNumberFormat="1"/>
    <xf numFmtId="171" fontId="93" fillId="11" borderId="0" xfId="0" applyFont="1" applyFill="1"/>
    <xf numFmtId="171" fontId="94" fillId="12" borderId="0" xfId="0" applyFont="1" applyFill="1"/>
    <xf numFmtId="169" fontId="94" fillId="12" borderId="0" xfId="0" applyNumberFormat="1" applyFont="1" applyFill="1"/>
    <xf numFmtId="173" fontId="94" fillId="12" borderId="0" xfId="0" applyNumberFormat="1" applyFont="1" applyFill="1"/>
    <xf numFmtId="171" fontId="58" fillId="12" borderId="3" xfId="0" applyFont="1" applyFill="1" applyBorder="1"/>
    <xf numFmtId="171" fontId="58" fillId="12" borderId="0" xfId="0" applyFont="1" applyFill="1"/>
    <xf numFmtId="169" fontId="58" fillId="12" borderId="0" xfId="0" applyNumberFormat="1" applyFont="1" applyFill="1"/>
    <xf numFmtId="173" fontId="58" fillId="12" borderId="0" xfId="0" applyNumberFormat="1" applyFont="1" applyFill="1"/>
    <xf numFmtId="171" fontId="94" fillId="12" borderId="3" xfId="0" applyFont="1" applyFill="1" applyBorder="1"/>
    <xf numFmtId="0" fontId="94" fillId="12" borderId="3" xfId="0" applyNumberFormat="1" applyFont="1" applyFill="1" applyBorder="1"/>
    <xf numFmtId="0" fontId="91" fillId="29" borderId="3" xfId="0" applyNumberFormat="1" applyFont="1" applyFill="1" applyBorder="1"/>
    <xf numFmtId="171" fontId="81" fillId="29" borderId="0" xfId="0" applyFont="1" applyFill="1"/>
    <xf numFmtId="169" fontId="81" fillId="29" borderId="0" xfId="0" applyNumberFormat="1" applyFont="1" applyFill="1"/>
    <xf numFmtId="1" fontId="81" fillId="29" borderId="0" xfId="0" applyNumberFormat="1" applyFont="1" applyFill="1"/>
    <xf numFmtId="3" fontId="81" fillId="29" borderId="0" xfId="0" applyNumberFormat="1" applyFont="1" applyFill="1"/>
    <xf numFmtId="174" fontId="81" fillId="29" borderId="0" xfId="1" applyNumberFormat="1" applyFont="1" applyFill="1"/>
    <xf numFmtId="173" fontId="81" fillId="29" borderId="0" xfId="0" applyNumberFormat="1" applyFont="1" applyFill="1"/>
    <xf numFmtId="0" fontId="81" fillId="29" borderId="4" xfId="0" applyNumberFormat="1" applyFont="1" applyFill="1" applyBorder="1"/>
    <xf numFmtId="171" fontId="81" fillId="29" borderId="3" xfId="0" applyFont="1" applyFill="1" applyBorder="1"/>
    <xf numFmtId="171" fontId="7" fillId="29" borderId="3" xfId="0" applyFont="1" applyFill="1" applyBorder="1"/>
    <xf numFmtId="3" fontId="7" fillId="29" borderId="0" xfId="0" applyNumberFormat="1" applyFont="1" applyFill="1"/>
    <xf numFmtId="174" fontId="9" fillId="29" borderId="0" xfId="1" applyNumberFormat="1" applyFont="1" applyFill="1"/>
    <xf numFmtId="173" fontId="7" fillId="29" borderId="0" xfId="0" applyNumberFormat="1" applyFont="1" applyFill="1"/>
    <xf numFmtId="0" fontId="7" fillId="29" borderId="4" xfId="0" applyNumberFormat="1" applyFont="1" applyFill="1" applyBorder="1"/>
    <xf numFmtId="171" fontId="19" fillId="0" borderId="0" xfId="2" applyFont="1" applyFill="1" applyAlignment="1" applyProtection="1"/>
    <xf numFmtId="171" fontId="81" fillId="0" borderId="0" xfId="0" applyFont="1"/>
    <xf numFmtId="169" fontId="81" fillId="0" borderId="0" xfId="0" applyNumberFormat="1" applyFont="1"/>
    <xf numFmtId="1" fontId="81" fillId="0" borderId="0" xfId="0" applyNumberFormat="1" applyFont="1"/>
    <xf numFmtId="3" fontId="81" fillId="0" borderId="0" xfId="0" applyNumberFormat="1" applyFont="1"/>
    <xf numFmtId="174" fontId="7" fillId="0" borderId="0" xfId="1" applyNumberFormat="1" applyFont="1" applyFill="1"/>
    <xf numFmtId="0" fontId="67" fillId="15" borderId="0" xfId="0" applyNumberFormat="1" applyFont="1" applyFill="1"/>
    <xf numFmtId="171" fontId="67" fillId="24" borderId="0" xfId="0" applyFont="1" applyFill="1"/>
    <xf numFmtId="171" fontId="7" fillId="0" borderId="0" xfId="0" applyFont="1" applyAlignment="1">
      <alignment vertical="center"/>
    </xf>
    <xf numFmtId="171" fontId="20" fillId="22" borderId="0" xfId="2" applyFont="1" applyFill="1" applyAlignment="1" applyProtection="1"/>
    <xf numFmtId="171" fontId="63" fillId="22" borderId="0" xfId="0" applyFont="1" applyFill="1"/>
    <xf numFmtId="171" fontId="7" fillId="0" borderId="0" xfId="0" applyFont="1" applyAlignment="1">
      <alignment horizontal="left" vertical="center"/>
    </xf>
    <xf numFmtId="171" fontId="19" fillId="29" borderId="0" xfId="2" applyFont="1" applyFill="1" applyAlignment="1" applyProtection="1"/>
    <xf numFmtId="171" fontId="63" fillId="26" borderId="0" xfId="0" applyFont="1" applyFill="1"/>
    <xf numFmtId="171" fontId="19" fillId="26" borderId="0" xfId="2" applyFont="1" applyFill="1" applyAlignment="1" applyProtection="1"/>
    <xf numFmtId="171" fontId="63" fillId="30" borderId="0" xfId="0" applyFont="1" applyFill="1"/>
    <xf numFmtId="171" fontId="63" fillId="29" borderId="0" xfId="0" applyFont="1" applyFill="1"/>
    <xf numFmtId="171" fontId="95" fillId="10" borderId="0" xfId="2" applyFont="1" applyFill="1" applyAlignment="1" applyProtection="1"/>
    <xf numFmtId="171" fontId="96" fillId="0" borderId="0" xfId="2" applyFont="1" applyFill="1" applyAlignment="1" applyProtection="1">
      <alignment vertical="center"/>
    </xf>
    <xf numFmtId="174" fontId="81" fillId="0" borderId="0" xfId="1" applyNumberFormat="1" applyFont="1" applyFill="1"/>
    <xf numFmtId="173" fontId="81" fillId="0" borderId="0" xfId="0" applyNumberFormat="1" applyFont="1"/>
    <xf numFmtId="171" fontId="81" fillId="0" borderId="3" xfId="0" applyFont="1" applyBorder="1"/>
    <xf numFmtId="3" fontId="0" fillId="0" borderId="0" xfId="0" applyNumberFormat="1"/>
    <xf numFmtId="1" fontId="7" fillId="10" borderId="4" xfId="0" applyNumberFormat="1" applyFont="1" applyFill="1" applyBorder="1"/>
    <xf numFmtId="1" fontId="7" fillId="0" borderId="4" xfId="0" applyNumberFormat="1" applyFont="1" applyBorder="1"/>
    <xf numFmtId="1" fontId="81" fillId="0" borderId="4" xfId="0" applyNumberFormat="1" applyFont="1" applyBorder="1"/>
    <xf numFmtId="1" fontId="7" fillId="0" borderId="0" xfId="1" applyNumberFormat="1" applyFont="1" applyFill="1" applyAlignment="1">
      <alignment horizontal="left"/>
    </xf>
    <xf numFmtId="1" fontId="28" fillId="0" borderId="4" xfId="1" applyNumberFormat="1" applyFont="1" applyFill="1" applyBorder="1" applyAlignment="1">
      <alignment horizontal="left"/>
    </xf>
    <xf numFmtId="0" fontId="3" fillId="19" borderId="0" xfId="0" applyNumberFormat="1" applyFont="1" applyFill="1"/>
    <xf numFmtId="0" fontId="57" fillId="0" borderId="0" xfId="0" applyNumberFormat="1" applyFont="1"/>
    <xf numFmtId="2" fontId="7" fillId="0" borderId="0" xfId="1" applyNumberFormat="1" applyFont="1" applyFill="1" applyAlignment="1"/>
    <xf numFmtId="173" fontId="7" fillId="10" borderId="0" xfId="1" applyNumberFormat="1" applyFont="1" applyFill="1" applyAlignment="1"/>
    <xf numFmtId="2" fontId="6" fillId="0" borderId="0" xfId="0" applyNumberFormat="1" applyFont="1"/>
    <xf numFmtId="171" fontId="7" fillId="31" borderId="0" xfId="0" applyFont="1" applyFill="1"/>
    <xf numFmtId="169" fontId="7" fillId="31" borderId="0" xfId="0" applyNumberFormat="1" applyFont="1" applyFill="1"/>
    <xf numFmtId="171" fontId="7" fillId="31" borderId="0" xfId="0" applyFont="1" applyFill="1" applyAlignment="1">
      <alignment vertical="center"/>
    </xf>
    <xf numFmtId="1" fontId="7" fillId="31" borderId="0" xfId="0" applyNumberFormat="1" applyFont="1" applyFill="1"/>
    <xf numFmtId="171" fontId="2" fillId="31" borderId="0" xfId="2" applyFill="1" applyAlignment="1" applyProtection="1">
      <alignment vertical="center"/>
    </xf>
    <xf numFmtId="174" fontId="7" fillId="31" borderId="0" xfId="1" applyNumberFormat="1" applyFont="1" applyFill="1"/>
    <xf numFmtId="173" fontId="7" fillId="31" borderId="0" xfId="0" applyNumberFormat="1" applyFont="1" applyFill="1"/>
    <xf numFmtId="165" fontId="7" fillId="31" borderId="4" xfId="1" applyNumberFormat="1" applyFont="1" applyFill="1" applyBorder="1" applyAlignment="1">
      <alignment horizontal="left"/>
    </xf>
    <xf numFmtId="169" fontId="7" fillId="31" borderId="0" xfId="0" applyNumberFormat="1" applyFont="1" applyFill="1" applyAlignment="1">
      <alignment horizontal="right"/>
    </xf>
    <xf numFmtId="3" fontId="7" fillId="31" borderId="0" xfId="0" applyNumberFormat="1" applyFont="1" applyFill="1"/>
    <xf numFmtId="171" fontId="19" fillId="31" borderId="0" xfId="2" applyFont="1" applyFill="1" applyAlignment="1" applyProtection="1"/>
    <xf numFmtId="0" fontId="7" fillId="31" borderId="0" xfId="0" applyNumberFormat="1" applyFont="1" applyFill="1"/>
    <xf numFmtId="171" fontId="7" fillId="32" borderId="0" xfId="0" applyFont="1" applyFill="1"/>
    <xf numFmtId="169" fontId="7" fillId="32" borderId="0" xfId="0" applyNumberFormat="1" applyFont="1" applyFill="1"/>
    <xf numFmtId="1" fontId="7" fillId="32" borderId="0" xfId="0" applyNumberFormat="1" applyFont="1" applyFill="1"/>
    <xf numFmtId="171" fontId="19" fillId="32" borderId="0" xfId="2" applyFont="1" applyFill="1" applyAlignment="1" applyProtection="1"/>
    <xf numFmtId="166" fontId="7" fillId="32" borderId="0" xfId="1" applyNumberFormat="1" applyFont="1" applyFill="1"/>
    <xf numFmtId="173" fontId="7" fillId="32" borderId="0" xfId="0" applyNumberFormat="1" applyFont="1" applyFill="1"/>
    <xf numFmtId="165" fontId="7" fillId="32" borderId="4" xfId="1" applyNumberFormat="1" applyFont="1" applyFill="1" applyBorder="1" applyAlignment="1">
      <alignment horizontal="left"/>
    </xf>
    <xf numFmtId="14" fontId="7" fillId="32" borderId="0" xfId="0" applyNumberFormat="1" applyFont="1" applyFill="1"/>
    <xf numFmtId="171" fontId="7" fillId="32" borderId="0" xfId="0" applyFont="1" applyFill="1" applyAlignment="1">
      <alignment vertical="center"/>
    </xf>
    <xf numFmtId="165" fontId="7" fillId="32" borderId="0" xfId="1" applyNumberFormat="1" applyFont="1" applyFill="1" applyAlignment="1">
      <alignment horizontal="left"/>
    </xf>
    <xf numFmtId="171" fontId="67" fillId="32" borderId="0" xfId="0" applyFont="1" applyFill="1"/>
    <xf numFmtId="171" fontId="2" fillId="32" borderId="0" xfId="2" applyFill="1" applyAlignment="1" applyProtection="1"/>
    <xf numFmtId="171" fontId="81" fillId="32" borderId="0" xfId="0" applyFont="1" applyFill="1"/>
    <xf numFmtId="169" fontId="81" fillId="32" borderId="0" xfId="0" applyNumberFormat="1" applyFont="1" applyFill="1"/>
    <xf numFmtId="1" fontId="81" fillId="32" borderId="0" xfId="0" applyNumberFormat="1" applyFont="1" applyFill="1"/>
    <xf numFmtId="3" fontId="81" fillId="32" borderId="0" xfId="0" applyNumberFormat="1" applyFont="1" applyFill="1"/>
    <xf numFmtId="171" fontId="82" fillId="32" borderId="0" xfId="2" applyFont="1" applyFill="1" applyAlignment="1" applyProtection="1"/>
    <xf numFmtId="166" fontId="81" fillId="32" borderId="0" xfId="1" applyNumberFormat="1" applyFont="1" applyFill="1"/>
    <xf numFmtId="165" fontId="81" fillId="32" borderId="0" xfId="1" applyNumberFormat="1" applyFont="1" applyFill="1" applyAlignment="1">
      <alignment horizontal="left"/>
    </xf>
    <xf numFmtId="14" fontId="81" fillId="32" borderId="0" xfId="0" applyNumberFormat="1" applyFont="1" applyFill="1"/>
    <xf numFmtId="0" fontId="3" fillId="0" borderId="15" xfId="0" applyNumberFormat="1" applyFont="1" applyBorder="1"/>
    <xf numFmtId="3" fontId="0" fillId="0" borderId="15" xfId="0" applyNumberFormat="1" applyBorder="1"/>
    <xf numFmtId="0" fontId="0" fillId="0" borderId="15" xfId="0" applyNumberFormat="1" applyBorder="1"/>
    <xf numFmtId="0" fontId="1" fillId="0" borderId="15" xfId="0" applyNumberFormat="1" applyFont="1" applyBorder="1"/>
    <xf numFmtId="3" fontId="3" fillId="0" borderId="15" xfId="0" applyNumberFormat="1" applyFont="1" applyBorder="1"/>
    <xf numFmtId="3" fontId="0" fillId="10" borderId="15" xfId="0" applyNumberFormat="1" applyFill="1" applyBorder="1"/>
    <xf numFmtId="166" fontId="81" fillId="15" borderId="0" xfId="1" applyNumberFormat="1" applyFont="1" applyFill="1"/>
    <xf numFmtId="165" fontId="81" fillId="15" borderId="0" xfId="1" applyNumberFormat="1" applyFont="1" applyFill="1" applyAlignment="1">
      <alignment horizontal="left"/>
    </xf>
    <xf numFmtId="14" fontId="81" fillId="15" borderId="0" xfId="0" applyNumberFormat="1" applyFont="1" applyFill="1"/>
    <xf numFmtId="171" fontId="81" fillId="31" borderId="0" xfId="0" applyFont="1" applyFill="1"/>
    <xf numFmtId="169" fontId="81" fillId="31" borderId="0" xfId="0" applyNumberFormat="1" applyFont="1" applyFill="1"/>
    <xf numFmtId="1" fontId="81" fillId="31" borderId="0" xfId="0" applyNumberFormat="1" applyFont="1" applyFill="1"/>
    <xf numFmtId="3" fontId="81" fillId="31" borderId="0" xfId="0" applyNumberFormat="1" applyFont="1" applyFill="1"/>
    <xf numFmtId="171" fontId="2" fillId="31" borderId="0" xfId="2" applyFill="1" applyAlignment="1" applyProtection="1"/>
    <xf numFmtId="166" fontId="81" fillId="31" borderId="0" xfId="1" applyNumberFormat="1" applyFont="1" applyFill="1"/>
    <xf numFmtId="165" fontId="81" fillId="31" borderId="0" xfId="1" applyNumberFormat="1" applyFont="1" applyFill="1" applyAlignment="1">
      <alignment horizontal="left"/>
    </xf>
    <xf numFmtId="14" fontId="81" fillId="31" borderId="0" xfId="0" applyNumberFormat="1" applyFont="1" applyFill="1"/>
    <xf numFmtId="174" fontId="7" fillId="32" borderId="0" xfId="1" applyNumberFormat="1" applyFont="1" applyFill="1"/>
    <xf numFmtId="171" fontId="7" fillId="32" borderId="3" xfId="0" applyFont="1" applyFill="1" applyBorder="1"/>
    <xf numFmtId="3" fontId="7" fillId="32" borderId="0" xfId="0" applyNumberFormat="1" applyFont="1" applyFill="1"/>
    <xf numFmtId="174" fontId="9" fillId="32" borderId="0" xfId="1" applyNumberFormat="1" applyFont="1" applyFill="1"/>
    <xf numFmtId="0" fontId="7" fillId="32" borderId="4" xfId="0" applyNumberFormat="1" applyFont="1" applyFill="1" applyBorder="1"/>
    <xf numFmtId="174" fontId="7" fillId="32" borderId="0" xfId="0" applyNumberFormat="1" applyFont="1" applyFill="1"/>
    <xf numFmtId="0" fontId="57" fillId="0" borderId="15" xfId="0" applyNumberFormat="1" applyFont="1" applyBorder="1"/>
    <xf numFmtId="174" fontId="7" fillId="30" borderId="0" xfId="1" applyNumberFormat="1" applyFont="1" applyFill="1"/>
    <xf numFmtId="173" fontId="7" fillId="30" borderId="0" xfId="0" applyNumberFormat="1" applyFont="1" applyFill="1"/>
    <xf numFmtId="0" fontId="81" fillId="10" borderId="3" xfId="0" applyNumberFormat="1" applyFont="1" applyFill="1" applyBorder="1"/>
    <xf numFmtId="174" fontId="81" fillId="10" borderId="0" xfId="1" applyNumberFormat="1" applyFont="1" applyFill="1"/>
    <xf numFmtId="173" fontId="81" fillId="10" borderId="0" xfId="0" applyNumberFormat="1" applyFont="1" applyFill="1"/>
    <xf numFmtId="0" fontId="81" fillId="10" borderId="4" xfId="0" applyNumberFormat="1" applyFont="1" applyFill="1" applyBorder="1"/>
    <xf numFmtId="171" fontId="20" fillId="31" borderId="0" xfId="2" applyFont="1" applyFill="1" applyAlignment="1" applyProtection="1"/>
    <xf numFmtId="14" fontId="7" fillId="31" borderId="0" xfId="0" applyNumberFormat="1" applyFont="1" applyFill="1"/>
    <xf numFmtId="171" fontId="7" fillId="31" borderId="3" xfId="0" applyFont="1" applyFill="1" applyBorder="1"/>
    <xf numFmtId="174" fontId="9" fillId="31" borderId="0" xfId="1" applyNumberFormat="1" applyFont="1" applyFill="1"/>
    <xf numFmtId="0" fontId="7" fillId="31" borderId="4" xfId="0" applyNumberFormat="1" applyFont="1" applyFill="1" applyBorder="1"/>
    <xf numFmtId="171" fontId="7" fillId="33" borderId="0" xfId="0" applyFont="1" applyFill="1"/>
    <xf numFmtId="169" fontId="7" fillId="33" borderId="0" xfId="0" applyNumberFormat="1" applyFont="1" applyFill="1"/>
    <xf numFmtId="171" fontId="63" fillId="33" borderId="0" xfId="0" applyFont="1" applyFill="1"/>
    <xf numFmtId="1" fontId="7" fillId="33" borderId="0" xfId="0" applyNumberFormat="1" applyFont="1" applyFill="1"/>
    <xf numFmtId="171" fontId="2" fillId="33" borderId="0" xfId="2" applyFill="1" applyAlignment="1" applyProtection="1"/>
    <xf numFmtId="166" fontId="7" fillId="33" borderId="0" xfId="1" applyNumberFormat="1" applyFont="1" applyFill="1"/>
    <xf numFmtId="165" fontId="7" fillId="33" borderId="0" xfId="1" applyNumberFormat="1" applyFont="1" applyFill="1" applyAlignment="1">
      <alignment horizontal="left"/>
    </xf>
    <xf numFmtId="14" fontId="7" fillId="33" borderId="0" xfId="0" applyNumberFormat="1" applyFont="1" applyFill="1"/>
    <xf numFmtId="171" fontId="63" fillId="32" borderId="0" xfId="0" applyFont="1" applyFill="1"/>
    <xf numFmtId="171" fontId="20" fillId="32" borderId="0" xfId="2" applyFont="1" applyFill="1" applyAlignment="1" applyProtection="1"/>
    <xf numFmtId="171" fontId="7" fillId="34" borderId="0" xfId="0" applyFont="1" applyFill="1"/>
    <xf numFmtId="169" fontId="7" fillId="34" borderId="0" xfId="0" applyNumberFormat="1" applyFont="1" applyFill="1"/>
    <xf numFmtId="1" fontId="7" fillId="34" borderId="0" xfId="0" applyNumberFormat="1" applyFont="1" applyFill="1"/>
    <xf numFmtId="171" fontId="19" fillId="34" borderId="0" xfId="2" applyFont="1" applyFill="1" applyAlignment="1" applyProtection="1"/>
    <xf numFmtId="174" fontId="7" fillId="34" borderId="0" xfId="1" applyNumberFormat="1" applyFont="1" applyFill="1"/>
    <xf numFmtId="173" fontId="7" fillId="34" borderId="0" xfId="0" applyNumberFormat="1" applyFont="1" applyFill="1"/>
    <xf numFmtId="14" fontId="7" fillId="34" borderId="0" xfId="0" applyNumberFormat="1" applyFont="1" applyFill="1"/>
    <xf numFmtId="165" fontId="7" fillId="31" borderId="0" xfId="1" applyNumberFormat="1" applyFont="1" applyFill="1" applyAlignment="1">
      <alignment horizontal="left"/>
    </xf>
    <xf numFmtId="166" fontId="7" fillId="31" borderId="0" xfId="1" applyNumberFormat="1" applyFont="1" applyFill="1"/>
    <xf numFmtId="171" fontId="67" fillId="9" borderId="0" xfId="0" applyFont="1" applyFill="1"/>
    <xf numFmtId="171" fontId="28" fillId="10" borderId="0" xfId="0" applyFont="1" applyFill="1"/>
    <xf numFmtId="2" fontId="7" fillId="10" borderId="0" xfId="1" applyNumberFormat="1" applyFont="1" applyFill="1" applyAlignment="1"/>
    <xf numFmtId="1" fontId="7" fillId="0" borderId="6" xfId="0" applyNumberFormat="1" applyFont="1" applyBorder="1"/>
    <xf numFmtId="1" fontId="7" fillId="0" borderId="8" xfId="0" applyNumberFormat="1" applyFont="1" applyBorder="1"/>
    <xf numFmtId="1" fontId="1" fillId="0" borderId="0" xfId="0" applyNumberFormat="1" applyFont="1"/>
    <xf numFmtId="14" fontId="0" fillId="0" borderId="0" xfId="0" applyNumberFormat="1"/>
    <xf numFmtId="14" fontId="1" fillId="0" borderId="0" xfId="0" applyNumberFormat="1" applyFont="1"/>
    <xf numFmtId="176" fontId="0" fillId="0" borderId="0" xfId="0" applyNumberFormat="1"/>
    <xf numFmtId="176" fontId="1" fillId="0" borderId="0" xfId="0" applyNumberFormat="1" applyFont="1"/>
    <xf numFmtId="0" fontId="91" fillId="10" borderId="3" xfId="0" applyNumberFormat="1" applyFont="1" applyFill="1" applyBorder="1"/>
    <xf numFmtId="171" fontId="81" fillId="9" borderId="0" xfId="0" applyFont="1" applyFill="1"/>
    <xf numFmtId="169" fontId="81" fillId="9" borderId="0" xfId="0" applyNumberFormat="1" applyFont="1" applyFill="1"/>
    <xf numFmtId="1" fontId="81" fillId="9" borderId="0" xfId="0" applyNumberFormat="1" applyFont="1" applyFill="1"/>
    <xf numFmtId="3" fontId="81" fillId="9" borderId="0" xfId="0" applyNumberFormat="1" applyFont="1" applyFill="1"/>
    <xf numFmtId="174" fontId="81" fillId="9" borderId="0" xfId="1" applyNumberFormat="1" applyFont="1" applyFill="1"/>
    <xf numFmtId="173" fontId="81" fillId="9" borderId="0" xfId="0" applyNumberFormat="1" applyFont="1" applyFill="1"/>
    <xf numFmtId="171" fontId="63" fillId="16" borderId="0" xfId="0" applyFont="1" applyFill="1"/>
    <xf numFmtId="171" fontId="2" fillId="16" borderId="0" xfId="2" applyFill="1" applyAlignment="1" applyProtection="1"/>
    <xf numFmtId="171" fontId="73" fillId="0" borderId="7" xfId="0" applyFont="1" applyBorder="1"/>
    <xf numFmtId="171" fontId="19" fillId="0" borderId="3" xfId="2" applyFont="1" applyBorder="1" applyAlignment="1" applyProtection="1"/>
    <xf numFmtId="171" fontId="7" fillId="34" borderId="3" xfId="0" applyFont="1" applyFill="1" applyBorder="1"/>
    <xf numFmtId="171" fontId="7" fillId="0" borderId="5" xfId="0" applyFont="1" applyBorder="1"/>
    <xf numFmtId="171" fontId="73" fillId="0" borderId="3" xfId="0" applyFont="1" applyBorder="1"/>
    <xf numFmtId="171" fontId="7" fillId="14" borderId="9" xfId="0" applyFont="1" applyFill="1" applyBorder="1"/>
    <xf numFmtId="0" fontId="81" fillId="9" borderId="0" xfId="0" applyNumberFormat="1" applyFont="1" applyFill="1"/>
    <xf numFmtId="171" fontId="7" fillId="31" borderId="9" xfId="0" applyFont="1" applyFill="1" applyBorder="1"/>
    <xf numFmtId="0" fontId="91" fillId="29" borderId="5" xfId="0" applyNumberFormat="1" applyFont="1" applyFill="1" applyBorder="1"/>
    <xf numFmtId="0" fontId="81" fillId="10" borderId="0" xfId="0" applyNumberFormat="1" applyFont="1" applyFill="1"/>
    <xf numFmtId="171" fontId="7" fillId="11" borderId="3" xfId="0" applyFont="1" applyFill="1" applyBorder="1"/>
    <xf numFmtId="171" fontId="73" fillId="0" borderId="12" xfId="0" applyFont="1" applyBorder="1"/>
    <xf numFmtId="171" fontId="7" fillId="0" borderId="12" xfId="0" applyFont="1" applyBorder="1"/>
    <xf numFmtId="171" fontId="7" fillId="22" borderId="3" xfId="0" applyFont="1" applyFill="1" applyBorder="1"/>
    <xf numFmtId="0" fontId="91" fillId="15" borderId="0" xfId="0" applyNumberFormat="1" applyFont="1" applyFill="1"/>
    <xf numFmtId="171" fontId="7" fillId="4" borderId="9" xfId="0" applyFont="1" applyFill="1" applyBorder="1"/>
    <xf numFmtId="171" fontId="7" fillId="27" borderId="3" xfId="0" applyFont="1" applyFill="1" applyBorder="1"/>
    <xf numFmtId="171" fontId="7" fillId="14" borderId="7" xfId="0" applyFont="1" applyFill="1" applyBorder="1"/>
    <xf numFmtId="171" fontId="7" fillId="31" borderId="7" xfId="0" applyFont="1" applyFill="1" applyBorder="1"/>
    <xf numFmtId="171" fontId="28" fillId="0" borderId="3" xfId="0" applyFont="1" applyBorder="1"/>
    <xf numFmtId="171" fontId="7" fillId="19" borderId="7" xfId="0" applyFont="1" applyFill="1" applyBorder="1"/>
    <xf numFmtId="171" fontId="8" fillId="0" borderId="7" xfId="0" applyFont="1" applyBorder="1"/>
    <xf numFmtId="171" fontId="7" fillId="19" borderId="5" xfId="0" applyFont="1" applyFill="1" applyBorder="1"/>
    <xf numFmtId="0" fontId="6" fillId="0" borderId="7" xfId="0" applyNumberFormat="1" applyFont="1" applyBorder="1"/>
    <xf numFmtId="171" fontId="7" fillId="23" borderId="3" xfId="0" applyFont="1" applyFill="1" applyBorder="1"/>
    <xf numFmtId="171" fontId="7" fillId="0" borderId="0" xfId="0" applyFont="1" applyAlignment="1">
      <alignment horizontal="left"/>
    </xf>
    <xf numFmtId="171" fontId="77" fillId="0" borderId="3" xfId="0" applyFont="1" applyBorder="1"/>
    <xf numFmtId="166" fontId="6" fillId="2" borderId="0" xfId="0" applyNumberFormat="1" applyFont="1" applyFill="1"/>
    <xf numFmtId="171" fontId="7" fillId="4" borderId="6" xfId="0" applyFont="1" applyFill="1" applyBorder="1"/>
    <xf numFmtId="167" fontId="6" fillId="0" borderId="0" xfId="3" applyNumberFormat="1" applyFont="1" applyBorder="1" applyAlignment="1">
      <alignment horizontal="right"/>
    </xf>
    <xf numFmtId="171" fontId="7" fillId="4" borderId="8" xfId="0" applyFont="1" applyFill="1" applyBorder="1"/>
    <xf numFmtId="5" fontId="6" fillId="2" borderId="0" xfId="0" applyNumberFormat="1" applyFont="1" applyFill="1"/>
    <xf numFmtId="171" fontId="77" fillId="0" borderId="6" xfId="0" applyFont="1" applyBorder="1"/>
    <xf numFmtId="168" fontId="6" fillId="0" borderId="0" xfId="3" applyNumberFormat="1" applyFont="1" applyBorder="1" applyAlignment="1">
      <alignment horizontal="right"/>
    </xf>
    <xf numFmtId="171" fontId="6" fillId="3" borderId="0" xfId="0" applyFont="1" applyFill="1"/>
    <xf numFmtId="171" fontId="7" fillId="14" borderId="10" xfId="0" applyFont="1" applyFill="1" applyBorder="1"/>
    <xf numFmtId="2" fontId="6" fillId="3" borderId="0" xfId="0" applyNumberFormat="1" applyFont="1" applyFill="1"/>
    <xf numFmtId="171" fontId="7" fillId="31" borderId="10" xfId="0" applyFont="1" applyFill="1" applyBorder="1"/>
    <xf numFmtId="171" fontId="81" fillId="29" borderId="6" xfId="0" applyFont="1" applyFill="1" applyBorder="1"/>
    <xf numFmtId="2" fontId="6" fillId="9" borderId="0" xfId="0" applyNumberFormat="1" applyFont="1" applyFill="1"/>
    <xf numFmtId="171" fontId="7" fillId="0" borderId="13" xfId="0" applyFont="1" applyBorder="1"/>
    <xf numFmtId="171" fontId="7" fillId="4" borderId="10" xfId="0" applyFont="1" applyFill="1" applyBorder="1"/>
    <xf numFmtId="171" fontId="7" fillId="14" borderId="8" xfId="0" applyFont="1" applyFill="1" applyBorder="1"/>
    <xf numFmtId="171" fontId="7" fillId="31" borderId="8" xfId="0" applyFont="1" applyFill="1" applyBorder="1"/>
    <xf numFmtId="171" fontId="77" fillId="0" borderId="4" xfId="0" applyFont="1" applyBorder="1"/>
    <xf numFmtId="171" fontId="6" fillId="3" borderId="6" xfId="0" applyFont="1" applyFill="1" applyBorder="1"/>
    <xf numFmtId="171" fontId="7" fillId="19" borderId="8" xfId="0" applyFont="1" applyFill="1" applyBorder="1"/>
    <xf numFmtId="171" fontId="7" fillId="19" borderId="1" xfId="0" applyFont="1" applyFill="1" applyBorder="1"/>
    <xf numFmtId="171" fontId="77" fillId="0" borderId="8" xfId="0" applyFont="1" applyBorder="1"/>
    <xf numFmtId="166" fontId="6" fillId="4" borderId="6" xfId="0" applyNumberFormat="1" applyFont="1" applyFill="1" applyBorder="1"/>
    <xf numFmtId="169" fontId="11" fillId="0" borderId="2" xfId="0" applyNumberFormat="1" applyFont="1" applyBorder="1"/>
    <xf numFmtId="166" fontId="6" fillId="0" borderId="0" xfId="1" applyNumberFormat="1" applyFont="1" applyBorder="1"/>
    <xf numFmtId="169" fontId="7" fillId="4" borderId="11" xfId="0" applyNumberFormat="1" applyFont="1" applyFill="1" applyBorder="1"/>
    <xf numFmtId="169" fontId="7" fillId="0" borderId="11" xfId="0" applyNumberFormat="1" applyFont="1" applyBorder="1"/>
    <xf numFmtId="169" fontId="6" fillId="0" borderId="11" xfId="0" applyNumberFormat="1" applyFont="1" applyBorder="1"/>
    <xf numFmtId="169" fontId="11" fillId="0" borderId="11" xfId="0" applyNumberFormat="1" applyFont="1" applyBorder="1"/>
    <xf numFmtId="166" fontId="6" fillId="0" borderId="0" xfId="1" applyNumberFormat="1" applyFont="1" applyBorder="1" applyAlignment="1">
      <alignment horizontal="left" indent="3"/>
    </xf>
    <xf numFmtId="169" fontId="7" fillId="15" borderId="11" xfId="0" applyNumberFormat="1" applyFont="1" applyFill="1" applyBorder="1"/>
    <xf numFmtId="169" fontId="12" fillId="0" borderId="2" xfId="0" applyNumberFormat="1" applyFont="1" applyBorder="1"/>
    <xf numFmtId="169" fontId="7" fillId="14" borderId="11" xfId="0" applyNumberFormat="1" applyFont="1" applyFill="1" applyBorder="1"/>
    <xf numFmtId="169" fontId="7" fillId="19" borderId="11" xfId="0" applyNumberFormat="1" applyFont="1" applyFill="1" applyBorder="1"/>
    <xf numFmtId="169" fontId="7" fillId="19" borderId="1" xfId="0" applyNumberFormat="1" applyFont="1" applyFill="1" applyBorder="1"/>
    <xf numFmtId="171" fontId="77" fillId="0" borderId="11" xfId="0" applyFont="1" applyBorder="1"/>
    <xf numFmtId="169" fontId="12" fillId="0" borderId="1" xfId="0" applyNumberFormat="1" applyFont="1" applyBorder="1"/>
    <xf numFmtId="169" fontId="7" fillId="30" borderId="3" xfId="0" applyNumberFormat="1" applyFont="1" applyFill="1" applyBorder="1"/>
    <xf numFmtId="169" fontId="7" fillId="4" borderId="5" xfId="0" applyNumberFormat="1" applyFont="1" applyFill="1" applyBorder="1"/>
    <xf numFmtId="169" fontId="7" fillId="16" borderId="3" xfId="0" applyNumberFormat="1" applyFont="1" applyFill="1" applyBorder="1"/>
    <xf numFmtId="169" fontId="12" fillId="0" borderId="3" xfId="0" applyNumberFormat="1" applyFont="1" applyBorder="1"/>
    <xf numFmtId="169" fontId="7" fillId="0" borderId="5" xfId="0" applyNumberFormat="1" applyFont="1" applyBorder="1"/>
    <xf numFmtId="169" fontId="7" fillId="4" borderId="3" xfId="0" applyNumberFormat="1" applyFont="1" applyFill="1" applyBorder="1"/>
    <xf numFmtId="171" fontId="7" fillId="0" borderId="5" xfId="0" applyFont="1" applyBorder="1" applyAlignment="1">
      <alignment horizontal="left"/>
    </xf>
    <xf numFmtId="171" fontId="77" fillId="0" borderId="5" xfId="0" applyFont="1" applyBorder="1"/>
    <xf numFmtId="171" fontId="6" fillId="0" borderId="3" xfId="0" applyFont="1" applyBorder="1" applyAlignment="1">
      <alignment horizontal="left"/>
    </xf>
    <xf numFmtId="169" fontId="7" fillId="14" borderId="3" xfId="0" applyNumberFormat="1" applyFont="1" applyFill="1" applyBorder="1"/>
    <xf numFmtId="169" fontId="7" fillId="31" borderId="3" xfId="0" applyNumberFormat="1" applyFont="1" applyFill="1" applyBorder="1"/>
    <xf numFmtId="171" fontId="6" fillId="0" borderId="5" xfId="0" applyFont="1" applyBorder="1" applyAlignment="1">
      <alignment horizontal="left"/>
    </xf>
    <xf numFmtId="169" fontId="11" fillId="0" borderId="3" xfId="0" applyNumberFormat="1" applyFont="1" applyBorder="1"/>
    <xf numFmtId="169" fontId="81" fillId="9" borderId="3" xfId="0" applyNumberFormat="1" applyFont="1" applyFill="1" applyBorder="1"/>
    <xf numFmtId="169" fontId="7" fillId="4" borderId="7" xfId="0" applyNumberFormat="1" applyFont="1" applyFill="1" applyBorder="1"/>
    <xf numFmtId="169" fontId="81" fillId="29" borderId="7" xfId="0" applyNumberFormat="1" applyFont="1" applyFill="1" applyBorder="1"/>
    <xf numFmtId="169" fontId="7" fillId="19" borderId="3" xfId="0" applyNumberFormat="1" applyFont="1" applyFill="1" applyBorder="1"/>
    <xf numFmtId="169" fontId="7" fillId="31" borderId="7" xfId="0" applyNumberFormat="1" applyFont="1" applyFill="1" applyBorder="1"/>
    <xf numFmtId="171" fontId="77" fillId="0" borderId="7" xfId="0" applyFont="1" applyBorder="1"/>
    <xf numFmtId="169" fontId="6" fillId="0" borderId="3" xfId="0" applyNumberFormat="1" applyFont="1" applyBorder="1"/>
    <xf numFmtId="169" fontId="12" fillId="0" borderId="7" xfId="0" applyNumberFormat="1" applyFont="1" applyBorder="1"/>
    <xf numFmtId="169" fontId="11" fillId="0" borderId="7" xfId="0" applyNumberFormat="1" applyFont="1" applyBorder="1"/>
    <xf numFmtId="1" fontId="6" fillId="3" borderId="0" xfId="0" applyNumberFormat="1" applyFont="1" applyFill="1"/>
    <xf numFmtId="171" fontId="70" fillId="0" borderId="8" xfId="0" applyFont="1" applyBorder="1"/>
    <xf numFmtId="171" fontId="7" fillId="30" borderId="4" xfId="0" applyFont="1" applyFill="1" applyBorder="1"/>
    <xf numFmtId="171" fontId="7" fillId="16" borderId="4" xfId="0" applyFont="1" applyFill="1" applyBorder="1"/>
    <xf numFmtId="171" fontId="7" fillId="4" borderId="4" xfId="0" applyFont="1" applyFill="1" applyBorder="1"/>
    <xf numFmtId="1" fontId="6" fillId="3" borderId="4" xfId="0" applyNumberFormat="1" applyFont="1" applyFill="1" applyBorder="1"/>
    <xf numFmtId="171" fontId="7" fillId="14" borderId="4" xfId="0" applyFont="1" applyFill="1" applyBorder="1"/>
    <xf numFmtId="171" fontId="7" fillId="31" borderId="4" xfId="0" applyFont="1" applyFill="1" applyBorder="1"/>
    <xf numFmtId="171" fontId="6" fillId="0" borderId="6" xfId="0" applyFont="1" applyBorder="1"/>
    <xf numFmtId="171" fontId="81" fillId="9" borderId="4" xfId="0" applyFont="1" applyFill="1" applyBorder="1"/>
    <xf numFmtId="171" fontId="81" fillId="29" borderId="8" xfId="0" applyFont="1" applyFill="1" applyBorder="1"/>
    <xf numFmtId="171" fontId="7" fillId="19" borderId="4" xfId="0" applyFont="1" applyFill="1" applyBorder="1"/>
    <xf numFmtId="171" fontId="65" fillId="14" borderId="4" xfId="0" applyFont="1" applyFill="1" applyBorder="1"/>
    <xf numFmtId="171" fontId="7" fillId="31" borderId="8" xfId="0" applyFont="1" applyFill="1" applyBorder="1" applyAlignment="1">
      <alignment vertical="center"/>
    </xf>
    <xf numFmtId="171" fontId="6" fillId="3" borderId="4" xfId="0" applyFont="1" applyFill="1" applyBorder="1"/>
    <xf numFmtId="1" fontId="7" fillId="19" borderId="1" xfId="0" applyNumberFormat="1" applyFont="1" applyFill="1" applyBorder="1"/>
    <xf numFmtId="3" fontId="7" fillId="0" borderId="2" xfId="0" applyNumberFormat="1" applyFont="1" applyBorder="1"/>
    <xf numFmtId="3" fontId="7" fillId="0" borderId="1" xfId="0" applyNumberFormat="1" applyFont="1" applyBorder="1"/>
    <xf numFmtId="171" fontId="19" fillId="19" borderId="1" xfId="2" applyFont="1" applyFill="1" applyBorder="1" applyAlignment="1" applyProtection="1"/>
    <xf numFmtId="171" fontId="19" fillId="0" borderId="1" xfId="2" applyFont="1" applyBorder="1" applyAlignment="1" applyProtection="1"/>
    <xf numFmtId="174" fontId="7" fillId="0" borderId="2" xfId="1" applyNumberFormat="1" applyFont="1" applyBorder="1"/>
    <xf numFmtId="174" fontId="7" fillId="4" borderId="0" xfId="1" applyNumberFormat="1" applyFont="1" applyFill="1" applyBorder="1"/>
    <xf numFmtId="174" fontId="9" fillId="0" borderId="2" xfId="1" applyNumberFormat="1" applyFont="1" applyBorder="1"/>
    <xf numFmtId="174" fontId="7" fillId="0" borderId="0" xfId="1" applyNumberFormat="1" applyFont="1" applyBorder="1"/>
    <xf numFmtId="174" fontId="7" fillId="19" borderId="1" xfId="1" applyNumberFormat="1" applyFont="1" applyFill="1" applyBorder="1"/>
    <xf numFmtId="174" fontId="9" fillId="0" borderId="1" xfId="1" applyNumberFormat="1" applyFont="1" applyBorder="1"/>
    <xf numFmtId="1" fontId="7" fillId="0" borderId="0" xfId="4" applyNumberFormat="1" applyFont="1" applyBorder="1"/>
    <xf numFmtId="173" fontId="7" fillId="19" borderId="1" xfId="0" applyNumberFormat="1" applyFont="1" applyFill="1" applyBorder="1"/>
    <xf numFmtId="166" fontId="7" fillId="0" borderId="0" xfId="1" applyNumberFormat="1" applyFont="1" applyBorder="1" applyAlignment="1">
      <alignment horizontal="left"/>
    </xf>
    <xf numFmtId="44" fontId="6" fillId="0" borderId="0" xfId="1" applyFont="1" applyBorder="1" applyAlignment="1">
      <alignment horizontal="left"/>
    </xf>
    <xf numFmtId="166" fontId="9" fillId="4" borderId="0" xfId="1" applyNumberFormat="1" applyFont="1" applyFill="1" applyBorder="1"/>
    <xf numFmtId="2" fontId="77" fillId="0" borderId="4" xfId="0" applyNumberFormat="1" applyFont="1" applyBorder="1"/>
    <xf numFmtId="165" fontId="7" fillId="34" borderId="4" xfId="1" applyNumberFormat="1" applyFont="1" applyFill="1" applyBorder="1" applyAlignment="1">
      <alignment horizontal="left"/>
    </xf>
    <xf numFmtId="166" fontId="9" fillId="0" borderId="0" xfId="1" applyNumberFormat="1" applyFont="1" applyBorder="1"/>
    <xf numFmtId="171" fontId="6" fillId="0" borderId="4" xfId="0" applyFont="1" applyBorder="1" applyAlignment="1">
      <alignment horizontal="left"/>
    </xf>
    <xf numFmtId="165" fontId="7" fillId="12" borderId="0" xfId="1" applyNumberFormat="1" applyFont="1" applyFill="1" applyBorder="1" applyAlignment="1">
      <alignment horizontal="left"/>
    </xf>
    <xf numFmtId="166" fontId="17" fillId="4" borderId="0" xfId="1" applyNumberFormat="1" applyFont="1" applyFill="1" applyBorder="1"/>
    <xf numFmtId="166" fontId="7" fillId="4" borderId="0" xfId="1" applyNumberFormat="1" applyFont="1" applyFill="1" applyBorder="1"/>
    <xf numFmtId="44" fontId="7" fillId="0" borderId="0" xfId="1" applyFont="1" applyBorder="1" applyAlignment="1">
      <alignment horizontal="left"/>
    </xf>
    <xf numFmtId="165" fontId="7" fillId="31" borderId="0" xfId="1" applyNumberFormat="1" applyFont="1" applyFill="1" applyBorder="1" applyAlignment="1">
      <alignment horizontal="left"/>
    </xf>
    <xf numFmtId="165" fontId="7" fillId="4" borderId="0" xfId="1" applyNumberFormat="1" applyFont="1" applyFill="1" applyBorder="1" applyAlignment="1">
      <alignment horizontal="left"/>
    </xf>
    <xf numFmtId="1" fontId="7" fillId="0" borderId="4" xfId="1" applyNumberFormat="1" applyFont="1" applyFill="1" applyBorder="1" applyAlignment="1">
      <alignment horizontal="left"/>
    </xf>
    <xf numFmtId="166" fontId="6" fillId="0" borderId="4" xfId="0" applyNumberFormat="1" applyFont="1" applyBorder="1" applyAlignment="1">
      <alignment horizontal="left"/>
    </xf>
    <xf numFmtId="44" fontId="6" fillId="5" borderId="0" xfId="1" applyFont="1" applyFill="1" applyBorder="1"/>
    <xf numFmtId="0" fontId="77" fillId="14" borderId="0" xfId="0" applyNumberFormat="1" applyFont="1" applyFill="1"/>
    <xf numFmtId="1" fontId="7" fillId="10" borderId="4" xfId="1" applyNumberFormat="1" applyFont="1" applyFill="1" applyBorder="1" applyAlignment="1">
      <alignment horizontal="left"/>
    </xf>
    <xf numFmtId="166" fontId="7" fillId="5" borderId="0" xfId="1" applyNumberFormat="1" applyFont="1" applyFill="1" applyBorder="1"/>
    <xf numFmtId="166" fontId="18" fillId="4" borderId="0" xfId="1" applyNumberFormat="1" applyFont="1" applyFill="1" applyBorder="1"/>
    <xf numFmtId="165" fontId="7" fillId="28" borderId="4" xfId="1" applyNumberFormat="1" applyFont="1" applyFill="1" applyBorder="1" applyAlignment="1">
      <alignment horizontal="left"/>
    </xf>
    <xf numFmtId="165" fontId="7" fillId="11" borderId="0" xfId="1" applyNumberFormat="1" applyFont="1" applyFill="1" applyBorder="1" applyAlignment="1">
      <alignment horizontal="left"/>
    </xf>
    <xf numFmtId="0" fontId="81" fillId="29" borderId="0" xfId="0" applyNumberFormat="1" applyFont="1" applyFill="1"/>
    <xf numFmtId="165" fontId="7" fillId="6" borderId="0" xfId="1" applyNumberFormat="1" applyFont="1" applyFill="1" applyBorder="1" applyAlignment="1">
      <alignment horizontal="left"/>
    </xf>
    <xf numFmtId="165" fontId="7" fillId="4" borderId="0" xfId="1" applyNumberFormat="1" applyFont="1" applyFill="1" applyBorder="1"/>
    <xf numFmtId="8" fontId="17" fillId="4" borderId="0" xfId="0" applyNumberFormat="1" applyFont="1" applyFill="1"/>
    <xf numFmtId="165" fontId="7" fillId="27" borderId="4" xfId="1" applyNumberFormat="1" applyFont="1" applyFill="1" applyBorder="1" applyAlignment="1">
      <alignment horizontal="left"/>
    </xf>
    <xf numFmtId="166" fontId="7" fillId="0" borderId="0" xfId="1" applyNumberFormat="1" applyFont="1" applyBorder="1"/>
    <xf numFmtId="0" fontId="6" fillId="0" borderId="4" xfId="0" applyNumberFormat="1" applyFont="1" applyBorder="1"/>
    <xf numFmtId="0" fontId="7" fillId="32" borderId="0" xfId="0" applyNumberFormat="1" applyFont="1" applyFill="1"/>
    <xf numFmtId="165" fontId="7" fillId="19" borderId="6" xfId="1" applyNumberFormat="1" applyFont="1" applyFill="1" applyBorder="1" applyAlignment="1">
      <alignment horizontal="left"/>
    </xf>
    <xf numFmtId="165" fontId="7" fillId="4" borderId="6" xfId="1" applyNumberFormat="1" applyFont="1" applyFill="1" applyBorder="1" applyAlignment="1">
      <alignment horizontal="left"/>
    </xf>
    <xf numFmtId="165" fontId="7" fillId="13" borderId="0" xfId="1" applyNumberFormat="1" applyFont="1" applyFill="1" applyBorder="1" applyAlignment="1">
      <alignment horizontal="left"/>
    </xf>
    <xf numFmtId="166" fontId="7" fillId="4" borderId="0" xfId="1" applyNumberFormat="1" applyFont="1" applyFill="1" applyBorder="1" applyAlignment="1">
      <alignment horizontal="left"/>
    </xf>
    <xf numFmtId="171" fontId="7" fillId="32" borderId="5" xfId="0" applyFont="1" applyFill="1" applyBorder="1"/>
    <xf numFmtId="171" fontId="81" fillId="10" borderId="7" xfId="0" applyFont="1" applyFill="1" applyBorder="1"/>
    <xf numFmtId="171" fontId="7" fillId="29" borderId="12" xfId="0" applyFont="1" applyFill="1" applyBorder="1"/>
    <xf numFmtId="171" fontId="7" fillId="11" borderId="5" xfId="0" applyFont="1" applyFill="1" applyBorder="1"/>
    <xf numFmtId="2" fontId="6" fillId="9" borderId="6" xfId="0" applyNumberFormat="1" applyFont="1" applyFill="1" applyBorder="1"/>
    <xf numFmtId="171" fontId="7" fillId="32" borderId="6" xfId="0" applyFont="1" applyFill="1" applyBorder="1"/>
    <xf numFmtId="166" fontId="6" fillId="0" borderId="13" xfId="0" applyNumberFormat="1" applyFont="1" applyBorder="1"/>
    <xf numFmtId="171" fontId="81" fillId="10" borderId="8" xfId="0" applyFont="1" applyFill="1" applyBorder="1"/>
    <xf numFmtId="171" fontId="7" fillId="29" borderId="13" xfId="0" applyFont="1" applyFill="1" applyBorder="1"/>
    <xf numFmtId="171" fontId="7" fillId="11" borderId="6" xfId="0" applyFont="1" applyFill="1" applyBorder="1"/>
    <xf numFmtId="0" fontId="6" fillId="2" borderId="0" xfId="0" applyNumberFormat="1" applyFont="1" applyFill="1"/>
    <xf numFmtId="167" fontId="6" fillId="0" borderId="6" xfId="3" applyNumberFormat="1" applyFont="1" applyBorder="1" applyAlignment="1">
      <alignment horizontal="right"/>
    </xf>
    <xf numFmtId="169" fontId="81" fillId="10" borderId="11" xfId="0" applyNumberFormat="1" applyFont="1" applyFill="1" applyBorder="1"/>
    <xf numFmtId="169" fontId="7" fillId="32" borderId="5" xfId="0" applyNumberFormat="1" applyFont="1" applyFill="1" applyBorder="1"/>
    <xf numFmtId="169" fontId="7" fillId="29" borderId="3" xfId="0" applyNumberFormat="1" applyFont="1" applyFill="1" applyBorder="1"/>
    <xf numFmtId="169" fontId="81" fillId="10" borderId="3" xfId="0" applyNumberFormat="1" applyFont="1" applyFill="1" applyBorder="1"/>
    <xf numFmtId="169" fontId="7" fillId="11" borderId="5" xfId="0" applyNumberFormat="1" applyFont="1" applyFill="1" applyBorder="1"/>
    <xf numFmtId="171" fontId="63" fillId="32" borderId="6" xfId="0" applyFont="1" applyFill="1" applyBorder="1"/>
    <xf numFmtId="171" fontId="63" fillId="29" borderId="4" xfId="0" applyFont="1" applyFill="1" applyBorder="1"/>
    <xf numFmtId="171" fontId="63" fillId="15" borderId="8" xfId="0" applyFont="1" applyFill="1" applyBorder="1"/>
    <xf numFmtId="171" fontId="81" fillId="10" borderId="4" xfId="0" applyFont="1" applyFill="1" applyBorder="1"/>
    <xf numFmtId="171" fontId="67" fillId="29" borderId="4" xfId="0" applyFont="1" applyFill="1" applyBorder="1"/>
    <xf numFmtId="171" fontId="6" fillId="10" borderId="4" xfId="0" applyFont="1" applyFill="1" applyBorder="1"/>
    <xf numFmtId="171" fontId="63" fillId="19" borderId="4" xfId="0" applyFont="1" applyFill="1" applyBorder="1"/>
    <xf numFmtId="165" fontId="7" fillId="32" borderId="0" xfId="1" applyNumberFormat="1" applyFont="1" applyFill="1" applyBorder="1" applyAlignment="1">
      <alignment horizontal="left"/>
    </xf>
    <xf numFmtId="165" fontId="7" fillId="22" borderId="0" xfId="1" applyNumberFormat="1" applyFont="1" applyFill="1" applyBorder="1" applyAlignment="1">
      <alignment horizontal="left"/>
    </xf>
    <xf numFmtId="165" fontId="7" fillId="0" borderId="0" xfId="1" applyNumberFormat="1" applyFont="1" applyFill="1" applyBorder="1" applyAlignment="1">
      <alignment horizontal="left"/>
    </xf>
    <xf numFmtId="173" fontId="7" fillId="10" borderId="4" xfId="1" applyNumberFormat="1" applyFont="1" applyFill="1" applyBorder="1" applyAlignment="1"/>
    <xf numFmtId="165" fontId="81" fillId="32" borderId="4" xfId="1" applyNumberFormat="1" applyFont="1" applyFill="1" applyBorder="1" applyAlignment="1">
      <alignment horizontal="left"/>
    </xf>
    <xf numFmtId="171" fontId="7" fillId="35" borderId="0" xfId="0" applyFont="1" applyFill="1"/>
    <xf numFmtId="169" fontId="7" fillId="35" borderId="0" xfId="0" applyNumberFormat="1" applyFont="1" applyFill="1"/>
    <xf numFmtId="1" fontId="7" fillId="35" borderId="0" xfId="0" applyNumberFormat="1" applyFont="1" applyFill="1"/>
    <xf numFmtId="3" fontId="7" fillId="35" borderId="0" xfId="0" applyNumberFormat="1" applyFont="1" applyFill="1"/>
    <xf numFmtId="171" fontId="20" fillId="35" borderId="0" xfId="2" applyFont="1" applyFill="1" applyAlignment="1" applyProtection="1"/>
    <xf numFmtId="166" fontId="7" fillId="35" borderId="0" xfId="1" applyNumberFormat="1" applyFont="1" applyFill="1"/>
    <xf numFmtId="173" fontId="7" fillId="35" borderId="0" xfId="1" applyNumberFormat="1" applyFont="1" applyFill="1" applyAlignment="1"/>
    <xf numFmtId="14" fontId="7" fillId="35" borderId="0" xfId="0" applyNumberFormat="1" applyFont="1" applyFill="1"/>
    <xf numFmtId="171" fontId="97" fillId="0" borderId="0" xfId="0" applyFont="1"/>
    <xf numFmtId="0" fontId="81" fillId="10" borderId="4" xfId="0" applyNumberFormat="1" applyFont="1" applyFill="1" applyBorder="1" applyAlignment="1">
      <alignment horizontal="right"/>
    </xf>
    <xf numFmtId="165" fontId="7" fillId="10" borderId="0" xfId="1" applyNumberFormat="1" applyFont="1" applyFill="1" applyAlignment="1">
      <alignment horizontal="right"/>
    </xf>
    <xf numFmtId="171" fontId="2" fillId="30" borderId="0" xfId="2" applyFill="1" applyAlignment="1" applyProtection="1"/>
    <xf numFmtId="0" fontId="81" fillId="16" borderId="3" xfId="0" applyNumberFormat="1" applyFont="1" applyFill="1" applyBorder="1"/>
    <xf numFmtId="171" fontId="81" fillId="16" borderId="0" xfId="0" applyFont="1" applyFill="1"/>
    <xf numFmtId="169" fontId="81" fillId="16" borderId="0" xfId="0" applyNumberFormat="1" applyFont="1" applyFill="1"/>
    <xf numFmtId="1" fontId="81" fillId="16" borderId="0" xfId="0" applyNumberFormat="1" applyFont="1" applyFill="1"/>
    <xf numFmtId="3" fontId="81" fillId="16" borderId="0" xfId="0" applyNumberFormat="1" applyFont="1" applyFill="1"/>
    <xf numFmtId="174" fontId="81" fillId="16" borderId="0" xfId="1" applyNumberFormat="1" applyFont="1" applyFill="1"/>
    <xf numFmtId="173" fontId="81" fillId="16" borderId="0" xfId="0" applyNumberFormat="1" applyFont="1" applyFill="1"/>
    <xf numFmtId="0" fontId="81" fillId="16" borderId="4" xfId="0" applyNumberFormat="1" applyFont="1" applyFill="1" applyBorder="1"/>
    <xf numFmtId="171" fontId="28" fillId="10" borderId="0" xfId="0" applyFont="1" applyFill="1" applyAlignment="1">
      <alignment vertical="center"/>
    </xf>
    <xf numFmtId="171" fontId="7" fillId="36" borderId="0" xfId="0" applyFont="1" applyFill="1"/>
    <xf numFmtId="169" fontId="7" fillId="36" borderId="0" xfId="0" applyNumberFormat="1" applyFont="1" applyFill="1"/>
    <xf numFmtId="171" fontId="67" fillId="36" borderId="0" xfId="0" applyFont="1" applyFill="1"/>
    <xf numFmtId="166" fontId="7" fillId="36" borderId="0" xfId="1" applyNumberFormat="1" applyFont="1" applyFill="1"/>
    <xf numFmtId="1" fontId="7" fillId="36" borderId="0" xfId="0" applyNumberFormat="1" applyFont="1" applyFill="1"/>
    <xf numFmtId="173" fontId="7" fillId="36" borderId="0" xfId="1" applyNumberFormat="1" applyFont="1" applyFill="1" applyAlignment="1"/>
    <xf numFmtId="14" fontId="7" fillId="36" borderId="0" xfId="0" applyNumberFormat="1" applyFont="1" applyFill="1"/>
    <xf numFmtId="171" fontId="2" fillId="36" borderId="0" xfId="2" applyFill="1" applyAlignment="1" applyProtection="1"/>
    <xf numFmtId="171" fontId="81" fillId="36" borderId="0" xfId="0" applyFont="1" applyFill="1"/>
    <xf numFmtId="169" fontId="81" fillId="36" borderId="0" xfId="0" applyNumberFormat="1" applyFont="1" applyFill="1"/>
    <xf numFmtId="1" fontId="81" fillId="36" borderId="0" xfId="0" applyNumberFormat="1" applyFont="1" applyFill="1"/>
    <xf numFmtId="3" fontId="81" fillId="36" borderId="0" xfId="0" applyNumberFormat="1" applyFont="1" applyFill="1"/>
    <xf numFmtId="166" fontId="81" fillId="36" borderId="0" xfId="1" applyNumberFormat="1" applyFont="1" applyFill="1"/>
    <xf numFmtId="165" fontId="81" fillId="36" borderId="0" xfId="1" applyNumberFormat="1" applyFont="1" applyFill="1" applyAlignment="1">
      <alignment horizontal="left"/>
    </xf>
    <xf numFmtId="14" fontId="81" fillId="36" borderId="0" xfId="0" applyNumberFormat="1" applyFont="1" applyFill="1"/>
    <xf numFmtId="177" fontId="9" fillId="0" borderId="0" xfId="1" applyNumberFormat="1" applyFont="1"/>
    <xf numFmtId="171" fontId="63" fillId="35" borderId="0" xfId="0" applyFont="1" applyFill="1"/>
    <xf numFmtId="171" fontId="2" fillId="35" borderId="0" xfId="2" applyFill="1" applyAlignment="1" applyProtection="1"/>
    <xf numFmtId="2" fontId="7" fillId="0" borderId="4" xfId="0" applyNumberFormat="1" applyFont="1" applyBorder="1"/>
    <xf numFmtId="171" fontId="2" fillId="8" borderId="0" xfId="2" applyFill="1" applyAlignment="1" applyProtection="1"/>
    <xf numFmtId="165" fontId="7" fillId="8" borderId="0" xfId="1" applyNumberFormat="1" applyFont="1" applyFill="1" applyAlignment="1">
      <alignment horizontal="left"/>
    </xf>
    <xf numFmtId="178" fontId="28" fillId="0" borderId="0" xfId="1" applyNumberFormat="1" applyFont="1" applyFill="1"/>
    <xf numFmtId="173" fontId="7" fillId="15" borderId="0" xfId="1" applyNumberFormat="1" applyFont="1" applyFill="1" applyAlignment="1"/>
    <xf numFmtId="0" fontId="81" fillId="15" borderId="3" xfId="0" applyNumberFormat="1" applyFont="1" applyFill="1" applyBorder="1"/>
    <xf numFmtId="0" fontId="81" fillId="29" borderId="3" xfId="0" applyNumberFormat="1" applyFont="1" applyFill="1" applyBorder="1"/>
    <xf numFmtId="171" fontId="65" fillId="29" borderId="0" xfId="0" applyFont="1" applyFill="1"/>
    <xf numFmtId="171" fontId="2" fillId="29" borderId="0" xfId="2" applyFill="1" applyAlignment="1" applyProtection="1"/>
    <xf numFmtId="0" fontId="7" fillId="8" borderId="0" xfId="0" applyNumberFormat="1" applyFont="1" applyFill="1"/>
    <xf numFmtId="166" fontId="7" fillId="8" borderId="0" xfId="1" applyNumberFormat="1" applyFont="1" applyFill="1"/>
    <xf numFmtId="173" fontId="7" fillId="8" borderId="0" xfId="1" applyNumberFormat="1" applyFont="1" applyFill="1" applyAlignment="1"/>
    <xf numFmtId="0" fontId="81" fillId="8" borderId="3" xfId="0" applyNumberFormat="1" applyFont="1" applyFill="1" applyBorder="1"/>
    <xf numFmtId="171" fontId="81" fillId="8" borderId="0" xfId="0" applyFont="1" applyFill="1"/>
    <xf numFmtId="169" fontId="81" fillId="8" borderId="0" xfId="0" applyNumberFormat="1" applyFont="1" applyFill="1"/>
    <xf numFmtId="1" fontId="81" fillId="8" borderId="0" xfId="0" applyNumberFormat="1" applyFont="1" applyFill="1"/>
    <xf numFmtId="3" fontId="81" fillId="8" borderId="0" xfId="0" applyNumberFormat="1" applyFont="1" applyFill="1"/>
    <xf numFmtId="174" fontId="81" fillId="8" borderId="0" xfId="1" applyNumberFormat="1" applyFont="1" applyFill="1"/>
    <xf numFmtId="173" fontId="81" fillId="8" borderId="0" xfId="0" applyNumberFormat="1" applyFont="1" applyFill="1"/>
    <xf numFmtId="0" fontId="81" fillId="8" borderId="4" xfId="0" applyNumberFormat="1" applyFont="1" applyFill="1" applyBorder="1"/>
    <xf numFmtId="0" fontId="91" fillId="8" borderId="3" xfId="0" applyNumberFormat="1" applyFont="1" applyFill="1" applyBorder="1"/>
    <xf numFmtId="171" fontId="65" fillId="8" borderId="0" xfId="0" applyFont="1" applyFill="1"/>
    <xf numFmtId="171" fontId="1" fillId="8" borderId="0" xfId="0" applyFont="1" applyFill="1"/>
    <xf numFmtId="171" fontId="2" fillId="24" borderId="0" xfId="2" applyFill="1" applyAlignment="1" applyProtection="1"/>
    <xf numFmtId="2" fontId="7" fillId="24" borderId="0" xfId="1" applyNumberFormat="1" applyFont="1" applyFill="1" applyAlignment="1"/>
    <xf numFmtId="171" fontId="7" fillId="8" borderId="3" xfId="0" applyFont="1" applyFill="1" applyBorder="1"/>
    <xf numFmtId="3" fontId="7" fillId="8" borderId="0" xfId="0" applyNumberFormat="1" applyFont="1" applyFill="1"/>
    <xf numFmtId="174" fontId="9" fillId="8" borderId="0" xfId="1" applyNumberFormat="1" applyFont="1" applyFill="1"/>
    <xf numFmtId="1" fontId="7" fillId="8" borderId="4" xfId="0" applyNumberFormat="1" applyFont="1" applyFill="1" applyBorder="1"/>
    <xf numFmtId="2" fontId="7" fillId="10" borderId="0" xfId="0" applyNumberFormat="1" applyFont="1" applyFill="1"/>
    <xf numFmtId="2" fontId="7" fillId="15" borderId="0" xfId="0" applyNumberFormat="1" applyFont="1" applyFill="1"/>
    <xf numFmtId="2" fontId="7" fillId="17" borderId="0" xfId="0" applyNumberFormat="1" applyFont="1" applyFill="1"/>
    <xf numFmtId="2" fontId="7" fillId="22" borderId="0" xfId="0" applyNumberFormat="1" applyFont="1" applyFill="1"/>
    <xf numFmtId="2" fontId="7" fillId="21" borderId="0" xfId="0" applyNumberFormat="1" applyFont="1" applyFill="1"/>
    <xf numFmtId="2" fontId="7" fillId="23" borderId="0" xfId="0" applyNumberFormat="1" applyFont="1" applyFill="1"/>
    <xf numFmtId="2" fontId="7" fillId="19" borderId="0" xfId="0" applyNumberFormat="1" applyFont="1" applyFill="1"/>
    <xf numFmtId="2" fontId="81" fillId="22" borderId="0" xfId="0" applyNumberFormat="1" applyFont="1" applyFill="1"/>
    <xf numFmtId="2" fontId="7" fillId="11" borderId="0" xfId="0" applyNumberFormat="1" applyFont="1" applyFill="1"/>
    <xf numFmtId="2" fontId="7" fillId="14" borderId="0" xfId="0" applyNumberFormat="1" applyFont="1" applyFill="1"/>
    <xf numFmtId="2" fontId="81" fillId="10" borderId="0" xfId="0" applyNumberFormat="1" applyFont="1" applyFill="1"/>
    <xf numFmtId="2" fontId="7" fillId="24" borderId="0" xfId="0" applyNumberFormat="1" applyFont="1" applyFill="1"/>
    <xf numFmtId="2" fontId="7" fillId="29" borderId="0" xfId="0" applyNumberFormat="1" applyFont="1" applyFill="1"/>
    <xf numFmtId="2" fontId="7" fillId="30" borderId="0" xfId="0" applyNumberFormat="1" applyFont="1" applyFill="1"/>
    <xf numFmtId="2" fontId="7" fillId="26" borderId="0" xfId="0" applyNumberFormat="1" applyFont="1" applyFill="1"/>
    <xf numFmtId="2" fontId="7" fillId="32" borderId="0" xfId="0" applyNumberFormat="1" applyFont="1" applyFill="1"/>
    <xf numFmtId="2" fontId="81" fillId="32" borderId="0" xfId="0" applyNumberFormat="1" applyFont="1" applyFill="1"/>
    <xf numFmtId="2" fontId="81" fillId="14" borderId="0" xfId="0" applyNumberFormat="1" applyFont="1" applyFill="1"/>
    <xf numFmtId="2" fontId="81" fillId="15" borderId="0" xfId="0" applyNumberFormat="1" applyFont="1" applyFill="1"/>
    <xf numFmtId="2" fontId="81" fillId="31" borderId="0" xfId="0" applyNumberFormat="1" applyFont="1" applyFill="1"/>
    <xf numFmtId="2" fontId="7" fillId="33" borderId="0" xfId="0" applyNumberFormat="1" applyFont="1" applyFill="1"/>
    <xf numFmtId="2" fontId="7" fillId="9" borderId="0" xfId="0" applyNumberFormat="1" applyFont="1" applyFill="1"/>
    <xf numFmtId="2" fontId="7" fillId="31" borderId="0" xfId="0" applyNumberFormat="1" applyFont="1" applyFill="1"/>
    <xf numFmtId="2" fontId="7" fillId="35" borderId="0" xfId="0" applyNumberFormat="1" applyFont="1" applyFill="1"/>
    <xf numFmtId="2" fontId="81" fillId="36" borderId="0" xfId="0" applyNumberFormat="1" applyFont="1" applyFill="1"/>
    <xf numFmtId="2" fontId="7" fillId="36" borderId="0" xfId="0" applyNumberFormat="1" applyFont="1" applyFill="1"/>
    <xf numFmtId="2" fontId="7" fillId="8" borderId="0" xfId="0" applyNumberFormat="1" applyFont="1" applyFill="1"/>
    <xf numFmtId="171" fontId="65" fillId="15" borderId="0" xfId="0" applyFont="1" applyFill="1"/>
    <xf numFmtId="174" fontId="9" fillId="15" borderId="0" xfId="1" applyNumberFormat="1" applyFont="1" applyFill="1"/>
    <xf numFmtId="1" fontId="7" fillId="15" borderId="4" xfId="0" applyNumberFormat="1" applyFont="1" applyFill="1" applyBorder="1"/>
    <xf numFmtId="2" fontId="7" fillId="8" borderId="0" xfId="1" applyNumberFormat="1" applyFont="1" applyFill="1" applyBorder="1" applyAlignment="1">
      <alignment horizontal="right"/>
    </xf>
    <xf numFmtId="171" fontId="28" fillId="8" borderId="0" xfId="0" applyFont="1" applyFill="1"/>
    <xf numFmtId="180" fontId="28" fillId="0" borderId="0" xfId="0" applyNumberFormat="1" applyFont="1"/>
    <xf numFmtId="2" fontId="28" fillId="0" borderId="0" xfId="0" applyNumberFormat="1" applyFont="1"/>
    <xf numFmtId="171" fontId="67" fillId="8" borderId="0" xfId="0" applyFont="1" applyFill="1"/>
    <xf numFmtId="3" fontId="57" fillId="0" borderId="15" xfId="0" applyNumberFormat="1" applyFont="1" applyBorder="1"/>
    <xf numFmtId="173" fontId="7" fillId="24" borderId="0" xfId="1" applyNumberFormat="1" applyFont="1" applyFill="1" applyAlignment="1"/>
    <xf numFmtId="0" fontId="1" fillId="0" borderId="16" xfId="0" applyNumberFormat="1" applyFont="1" applyBorder="1"/>
    <xf numFmtId="3" fontId="1" fillId="0" borderId="15" xfId="0" applyNumberFormat="1" applyFont="1" applyBorder="1"/>
    <xf numFmtId="171" fontId="99" fillId="0" borderId="17" xfId="0" applyFont="1" applyBorder="1" applyAlignment="1">
      <alignment vertical="center" wrapText="1"/>
    </xf>
    <xf numFmtId="171" fontId="99" fillId="0" borderId="17" xfId="0" applyFont="1" applyBorder="1" applyAlignment="1">
      <alignment horizontal="center" vertical="center" wrapText="1"/>
    </xf>
    <xf numFmtId="171" fontId="99" fillId="0" borderId="15" xfId="0" applyFont="1" applyBorder="1" applyAlignment="1">
      <alignment vertical="center" wrapText="1"/>
    </xf>
    <xf numFmtId="1" fontId="99" fillId="0" borderId="15" xfId="0" applyNumberFormat="1" applyFont="1" applyBorder="1" applyAlignment="1">
      <alignment horizontal="center" vertical="center" wrapText="1"/>
    </xf>
    <xf numFmtId="171" fontId="3" fillId="0" borderId="15" xfId="0" applyFont="1" applyBorder="1" applyAlignment="1">
      <alignment horizontal="center"/>
    </xf>
    <xf numFmtId="1" fontId="99" fillId="0" borderId="20" xfId="0" applyNumberFormat="1" applyFont="1" applyBorder="1" applyAlignment="1">
      <alignment horizontal="center" vertical="center" wrapText="1"/>
    </xf>
    <xf numFmtId="171" fontId="99" fillId="0" borderId="20" xfId="0" applyFont="1" applyBorder="1" applyAlignment="1">
      <alignment vertical="center" wrapText="1"/>
    </xf>
    <xf numFmtId="4" fontId="0" fillId="0" borderId="0" xfId="0" applyNumberFormat="1"/>
    <xf numFmtId="171" fontId="58" fillId="0" borderId="0" xfId="0" applyFont="1"/>
    <xf numFmtId="171" fontId="93" fillId="0" borderId="0" xfId="0" applyFont="1"/>
    <xf numFmtId="171" fontId="101" fillId="0" borderId="0" xfId="0" applyFont="1"/>
    <xf numFmtId="171" fontId="20" fillId="0" borderId="0" xfId="2" applyFont="1" applyFill="1" applyBorder="1" applyAlignment="1" applyProtection="1"/>
    <xf numFmtId="174" fontId="7" fillId="0" borderId="0" xfId="1" applyNumberFormat="1" applyFont="1" applyFill="1" applyBorder="1"/>
    <xf numFmtId="171" fontId="76" fillId="0" borderId="0" xfId="0" applyFont="1" applyAlignment="1">
      <alignment vertical="center"/>
    </xf>
    <xf numFmtId="171" fontId="102" fillId="0" borderId="0" xfId="0" applyFont="1"/>
    <xf numFmtId="169" fontId="77" fillId="0" borderId="0" xfId="0" applyNumberFormat="1" applyFont="1" applyAlignment="1">
      <alignment horizontal="right"/>
    </xf>
    <xf numFmtId="169" fontId="77" fillId="0" borderId="0" xfId="0" applyNumberFormat="1" applyFont="1"/>
    <xf numFmtId="3" fontId="77" fillId="0" borderId="0" xfId="0" applyNumberFormat="1" applyFont="1"/>
    <xf numFmtId="171" fontId="103" fillId="0" borderId="0" xfId="2" applyFont="1" applyFill="1" applyBorder="1" applyAlignment="1" applyProtection="1"/>
    <xf numFmtId="174" fontId="77" fillId="0" borderId="0" xfId="1" applyNumberFormat="1" applyFont="1" applyFill="1" applyBorder="1"/>
    <xf numFmtId="1" fontId="93" fillId="0" borderId="0" xfId="0" applyNumberFormat="1" applyFont="1"/>
    <xf numFmtId="1" fontId="58" fillId="0" borderId="0" xfId="0" applyNumberFormat="1" applyFont="1"/>
    <xf numFmtId="1" fontId="101" fillId="0" borderId="0" xfId="0" applyNumberFormat="1" applyFont="1"/>
    <xf numFmtId="171" fontId="58" fillId="37" borderId="0" xfId="0" applyFont="1" applyFill="1"/>
    <xf numFmtId="171" fontId="7" fillId="37" borderId="0" xfId="0" applyFont="1" applyFill="1"/>
    <xf numFmtId="171" fontId="93" fillId="37" borderId="0" xfId="0" applyFont="1" applyFill="1"/>
    <xf numFmtId="1" fontId="93" fillId="37" borderId="0" xfId="0" applyNumberFormat="1" applyFont="1" applyFill="1"/>
    <xf numFmtId="0" fontId="1" fillId="10" borderId="15" xfId="0" applyNumberFormat="1" applyFont="1" applyFill="1" applyBorder="1"/>
    <xf numFmtId="0" fontId="1" fillId="10" borderId="0" xfId="0" applyNumberFormat="1" applyFont="1" applyFill="1"/>
    <xf numFmtId="0" fontId="0" fillId="10" borderId="0" xfId="0" applyNumberFormat="1" applyFill="1"/>
    <xf numFmtId="171" fontId="28" fillId="15" borderId="0" xfId="0" applyFont="1" applyFill="1"/>
    <xf numFmtId="171" fontId="2" fillId="0" borderId="0" xfId="2" applyFill="1" applyBorder="1" applyAlignment="1" applyProtection="1"/>
    <xf numFmtId="10" fontId="0" fillId="0" borderId="0" xfId="5" applyNumberFormat="1" applyFont="1"/>
    <xf numFmtId="2" fontId="0" fillId="0" borderId="0" xfId="5" applyNumberFormat="1" applyFont="1"/>
    <xf numFmtId="2" fontId="0" fillId="15" borderId="0" xfId="0" applyNumberFormat="1" applyFill="1"/>
    <xf numFmtId="171" fontId="0" fillId="38" borderId="0" xfId="0" applyFill="1"/>
    <xf numFmtId="2" fontId="0" fillId="38" borderId="0" xfId="0" applyNumberFormat="1" applyFill="1"/>
    <xf numFmtId="10" fontId="0" fillId="38" borderId="0" xfId="5" applyNumberFormat="1" applyFont="1" applyFill="1"/>
    <xf numFmtId="171" fontId="0" fillId="22" borderId="0" xfId="0" applyFill="1"/>
    <xf numFmtId="2" fontId="0" fillId="22" borderId="0" xfId="0" applyNumberFormat="1" applyFill="1"/>
    <xf numFmtId="10" fontId="0" fillId="22" borderId="0" xfId="5" applyNumberFormat="1" applyFont="1" applyFill="1"/>
    <xf numFmtId="171" fontId="3" fillId="22" borderId="0" xfId="0" applyFont="1" applyFill="1"/>
    <xf numFmtId="171" fontId="3" fillId="38" borderId="0" xfId="0" applyFont="1" applyFill="1"/>
    <xf numFmtId="171" fontId="1" fillId="38" borderId="0" xfId="0" applyFont="1" applyFill="1"/>
    <xf numFmtId="2" fontId="0" fillId="8" borderId="0" xfId="0" applyNumberFormat="1" applyFill="1"/>
    <xf numFmtId="171" fontId="0" fillId="39" borderId="0" xfId="0" applyFill="1"/>
    <xf numFmtId="2" fontId="0" fillId="39" borderId="0" xfId="0" applyNumberFormat="1" applyFill="1"/>
    <xf numFmtId="171" fontId="1" fillId="39" borderId="0" xfId="0" applyFont="1" applyFill="1"/>
    <xf numFmtId="3" fontId="0" fillId="39" borderId="0" xfId="0" applyNumberFormat="1" applyFill="1"/>
    <xf numFmtId="2" fontId="0" fillId="0" borderId="0" xfId="0" applyNumberFormat="1" applyAlignment="1">
      <alignment horizontal="left" indent="7"/>
    </xf>
    <xf numFmtId="0" fontId="0" fillId="0" borderId="0" xfId="5" applyNumberFormat="1" applyFont="1"/>
    <xf numFmtId="166" fontId="6" fillId="0" borderId="9" xfId="1" applyNumberFormat="1" applyFont="1" applyBorder="1"/>
    <xf numFmtId="1" fontId="6" fillId="0" borderId="6" xfId="0" applyNumberFormat="1" applyFont="1" applyBorder="1"/>
    <xf numFmtId="1" fontId="77" fillId="0" borderId="4" xfId="0" applyNumberFormat="1" applyFont="1" applyBorder="1"/>
    <xf numFmtId="2" fontId="8" fillId="0" borderId="5" xfId="0" applyNumberFormat="1" applyFont="1" applyBorder="1"/>
    <xf numFmtId="2" fontId="7" fillId="0" borderId="3" xfId="0" applyNumberFormat="1" applyFont="1" applyBorder="1" applyAlignment="1">
      <alignment horizontal="left"/>
    </xf>
    <xf numFmtId="2" fontId="7" fillId="0" borderId="3" xfId="0" applyNumberFormat="1" applyFont="1" applyBorder="1"/>
    <xf numFmtId="2" fontId="7" fillId="0" borderId="7" xfId="0" applyNumberFormat="1" applyFont="1" applyBorder="1"/>
    <xf numFmtId="2" fontId="6" fillId="23" borderId="0" xfId="0" applyNumberFormat="1" applyFont="1" applyFill="1"/>
    <xf numFmtId="171" fontId="8" fillId="0" borderId="22" xfId="0" applyFont="1" applyBorder="1"/>
    <xf numFmtId="1" fontId="7" fillId="0" borderId="23" xfId="0" applyNumberFormat="1" applyFont="1" applyBorder="1"/>
    <xf numFmtId="171" fontId="7" fillId="0" borderId="24" xfId="0" applyFont="1" applyBorder="1" applyAlignment="1">
      <alignment horizontal="left"/>
    </xf>
    <xf numFmtId="1" fontId="7" fillId="0" borderId="25" xfId="0" applyNumberFormat="1" applyFont="1" applyBorder="1"/>
    <xf numFmtId="171" fontId="6" fillId="0" borderId="26" xfId="0" applyFont="1" applyBorder="1" applyAlignment="1">
      <alignment horizontal="left"/>
    </xf>
    <xf numFmtId="1" fontId="6" fillId="0" borderId="27" xfId="0" applyNumberFormat="1" applyFont="1" applyBorder="1"/>
    <xf numFmtId="2" fontId="1" fillId="0" borderId="0" xfId="0" applyNumberFormat="1" applyFont="1" applyAlignment="1">
      <alignment horizontal="right"/>
    </xf>
    <xf numFmtId="171" fontId="104" fillId="8" borderId="0" xfId="0" applyFont="1" applyFill="1"/>
    <xf numFmtId="44" fontId="7" fillId="8" borderId="0" xfId="1" applyFont="1" applyFill="1"/>
    <xf numFmtId="2" fontId="7" fillId="8" borderId="0" xfId="1" applyNumberFormat="1" applyFont="1" applyFill="1" applyAlignment="1"/>
    <xf numFmtId="2" fontId="6" fillId="19" borderId="0" xfId="0" applyNumberFormat="1" applyFont="1" applyFill="1"/>
    <xf numFmtId="171" fontId="6" fillId="19" borderId="0" xfId="0" applyFont="1" applyFill="1"/>
    <xf numFmtId="177" fontId="7" fillId="0" borderId="0" xfId="1" applyNumberFormat="1" applyFont="1" applyFill="1"/>
    <xf numFmtId="1" fontId="7" fillId="8" borderId="0" xfId="1" applyNumberFormat="1" applyFont="1" applyFill="1" applyAlignment="1">
      <alignment horizontal="right"/>
    </xf>
    <xf numFmtId="14" fontId="81" fillId="0" borderId="0" xfId="0" applyNumberFormat="1" applyFont="1"/>
    <xf numFmtId="14" fontId="7" fillId="0" borderId="2" xfId="0" applyNumberFormat="1" applyFont="1" applyBorder="1"/>
    <xf numFmtId="14" fontId="10" fillId="4" borderId="0" xfId="0" applyNumberFormat="1" applyFont="1" applyFill="1"/>
    <xf numFmtId="14" fontId="7" fillId="5" borderId="0" xfId="0" applyNumberFormat="1" applyFont="1" applyFill="1"/>
    <xf numFmtId="14" fontId="77" fillId="0" borderId="0" xfId="0" applyNumberFormat="1" applyFont="1"/>
    <xf numFmtId="14" fontId="81" fillId="29" borderId="0" xfId="0" applyNumberFormat="1" applyFont="1" applyFill="1"/>
    <xf numFmtId="14" fontId="77" fillId="14" borderId="0" xfId="0" applyNumberFormat="1" applyFont="1" applyFill="1"/>
    <xf numFmtId="14" fontId="28" fillId="0" borderId="0" xfId="0" applyNumberFormat="1" applyFont="1"/>
    <xf numFmtId="14" fontId="81" fillId="16" borderId="0" xfId="0" applyNumberFormat="1" applyFont="1" applyFill="1"/>
    <xf numFmtId="14" fontId="81" fillId="8" borderId="0" xfId="0" applyNumberFormat="1" applyFont="1" applyFill="1"/>
    <xf numFmtId="2" fontId="0" fillId="10" borderId="0" xfId="0" applyNumberFormat="1" applyFill="1"/>
    <xf numFmtId="2" fontId="3" fillId="10" borderId="0" xfId="0" applyNumberFormat="1" applyFont="1" applyFill="1"/>
    <xf numFmtId="2" fontId="1" fillId="10" borderId="0" xfId="0" applyNumberFormat="1" applyFont="1" applyFill="1"/>
    <xf numFmtId="2" fontId="105" fillId="0" borderId="0" xfId="0" applyNumberFormat="1" applyFont="1"/>
    <xf numFmtId="174" fontId="81" fillId="10" borderId="4" xfId="0" applyNumberFormat="1" applyFont="1" applyFill="1" applyBorder="1"/>
    <xf numFmtId="171" fontId="7" fillId="10" borderId="0" xfId="0" applyFont="1" applyFill="1" applyAlignment="1">
      <alignment vertical="center"/>
    </xf>
    <xf numFmtId="0" fontId="7" fillId="10" borderId="4" xfId="0" applyNumberFormat="1" applyFont="1" applyFill="1" applyBorder="1" applyAlignment="1">
      <alignment horizontal="right"/>
    </xf>
    <xf numFmtId="0" fontId="6" fillId="21" borderId="0" xfId="0" applyNumberFormat="1" applyFont="1" applyFill="1"/>
    <xf numFmtId="0" fontId="7" fillId="21" borderId="0" xfId="0" applyNumberFormat="1" applyFont="1" applyFill="1"/>
    <xf numFmtId="171" fontId="6" fillId="21" borderId="0" xfId="0" applyFont="1" applyFill="1"/>
    <xf numFmtId="171" fontId="98" fillId="21" borderId="0" xfId="0" applyFont="1" applyFill="1"/>
    <xf numFmtId="0" fontId="81" fillId="30" borderId="3" xfId="0" applyNumberFormat="1" applyFont="1" applyFill="1" applyBorder="1"/>
    <xf numFmtId="171" fontId="81" fillId="30" borderId="0" xfId="0" applyFont="1" applyFill="1"/>
    <xf numFmtId="169" fontId="81" fillId="30" borderId="0" xfId="0" applyNumberFormat="1" applyFont="1" applyFill="1"/>
    <xf numFmtId="1" fontId="81" fillId="30" borderId="0" xfId="0" applyNumberFormat="1" applyFont="1" applyFill="1"/>
    <xf numFmtId="3" fontId="81" fillId="30" borderId="0" xfId="0" applyNumberFormat="1" applyFont="1" applyFill="1"/>
    <xf numFmtId="174" fontId="81" fillId="30" borderId="0" xfId="1" applyNumberFormat="1" applyFont="1" applyFill="1"/>
    <xf numFmtId="173" fontId="81" fillId="30" borderId="0" xfId="0" applyNumberFormat="1" applyFont="1" applyFill="1"/>
    <xf numFmtId="0" fontId="81" fillId="30" borderId="4" xfId="0" applyNumberFormat="1" applyFont="1" applyFill="1" applyBorder="1" applyAlignment="1">
      <alignment horizontal="right"/>
    </xf>
    <xf numFmtId="14" fontId="81" fillId="30" borderId="0" xfId="0" applyNumberFormat="1" applyFont="1" applyFill="1"/>
    <xf numFmtId="171" fontId="7" fillId="21" borderId="5" xfId="0" applyFont="1" applyFill="1" applyBorder="1"/>
    <xf numFmtId="171" fontId="7" fillId="6" borderId="7" xfId="0" applyFont="1" applyFill="1" applyBorder="1"/>
    <xf numFmtId="171" fontId="73" fillId="0" borderId="5" xfId="0" applyFont="1" applyBorder="1"/>
    <xf numFmtId="171" fontId="7" fillId="22" borderId="7" xfId="0" applyFont="1" applyFill="1" applyBorder="1"/>
    <xf numFmtId="171" fontId="7" fillId="12" borderId="7" xfId="0" applyFont="1" applyFill="1" applyBorder="1"/>
    <xf numFmtId="0" fontId="81" fillId="30" borderId="0" xfId="0" applyNumberFormat="1" applyFont="1" applyFill="1"/>
    <xf numFmtId="0" fontId="91" fillId="8" borderId="0" xfId="0" applyNumberFormat="1" applyFont="1" applyFill="1"/>
    <xf numFmtId="0" fontId="81" fillId="16" borderId="0" xfId="0" applyNumberFormat="1" applyFont="1" applyFill="1"/>
    <xf numFmtId="171" fontId="7" fillId="30" borderId="5" xfId="0" applyFont="1" applyFill="1" applyBorder="1"/>
    <xf numFmtId="0" fontId="6" fillId="0" borderId="5" xfId="0" applyNumberFormat="1" applyFont="1" applyBorder="1"/>
    <xf numFmtId="171" fontId="7" fillId="13" borderId="7" xfId="0" applyFont="1" applyFill="1" applyBorder="1"/>
    <xf numFmtId="171" fontId="7" fillId="0" borderId="9" xfId="0" applyFont="1" applyBorder="1"/>
    <xf numFmtId="171" fontId="7" fillId="27" borderId="7" xfId="0" applyFont="1" applyFill="1" applyBorder="1"/>
    <xf numFmtId="171" fontId="7" fillId="14" borderId="3" xfId="0" applyFont="1" applyFill="1" applyBorder="1"/>
    <xf numFmtId="0" fontId="81" fillId="8" borderId="0" xfId="0" applyNumberFormat="1" applyFont="1" applyFill="1"/>
    <xf numFmtId="171" fontId="19" fillId="0" borderId="7" xfId="2" applyFont="1" applyBorder="1" applyAlignment="1" applyProtection="1"/>
    <xf numFmtId="0" fontId="6" fillId="0" borderId="12" xfId="0" applyNumberFormat="1" applyFont="1" applyBorder="1"/>
    <xf numFmtId="171" fontId="7" fillId="6" borderId="5" xfId="0" applyFont="1" applyFill="1" applyBorder="1"/>
    <xf numFmtId="171" fontId="7" fillId="10" borderId="3" xfId="0" applyFont="1" applyFill="1" applyBorder="1" applyAlignment="1">
      <alignment vertical="center"/>
    </xf>
    <xf numFmtId="0" fontId="81" fillId="10" borderId="7" xfId="0" applyNumberFormat="1" applyFont="1" applyFill="1" applyBorder="1"/>
    <xf numFmtId="0" fontId="6" fillId="21" borderId="3" xfId="0" applyNumberFormat="1" applyFont="1" applyFill="1" applyBorder="1"/>
    <xf numFmtId="171" fontId="7" fillId="13" borderId="3" xfId="0" applyFont="1" applyFill="1" applyBorder="1"/>
    <xf numFmtId="171" fontId="7" fillId="28" borderId="3" xfId="0" applyFont="1" applyFill="1" applyBorder="1"/>
    <xf numFmtId="171" fontId="7" fillId="10" borderId="2" xfId="0" applyFont="1" applyFill="1" applyBorder="1"/>
    <xf numFmtId="166" fontId="6" fillId="2" borderId="8" xfId="0" applyNumberFormat="1" applyFont="1" applyFill="1" applyBorder="1"/>
    <xf numFmtId="171" fontId="7" fillId="21" borderId="6" xfId="0" applyFont="1" applyFill="1" applyBorder="1"/>
    <xf numFmtId="171" fontId="7" fillId="6" borderId="8" xfId="0" applyFont="1" applyFill="1" applyBorder="1"/>
    <xf numFmtId="171" fontId="7" fillId="22" borderId="8" xfId="0" applyFont="1" applyFill="1" applyBorder="1"/>
    <xf numFmtId="171" fontId="7" fillId="12" borderId="8" xfId="0" applyFont="1" applyFill="1" applyBorder="1"/>
    <xf numFmtId="166" fontId="6" fillId="2" borderId="4" xfId="0" applyNumberFormat="1" applyFont="1" applyFill="1" applyBorder="1"/>
    <xf numFmtId="171" fontId="7" fillId="30" borderId="6" xfId="0" applyFont="1" applyFill="1" applyBorder="1"/>
    <xf numFmtId="2" fontId="6" fillId="0" borderId="8" xfId="0" applyNumberFormat="1" applyFont="1" applyBorder="1"/>
    <xf numFmtId="168" fontId="6" fillId="0" borderId="13" xfId="3" applyNumberFormat="1" applyFont="1" applyBorder="1" applyAlignment="1">
      <alignment horizontal="right"/>
    </xf>
    <xf numFmtId="171" fontId="7" fillId="13" borderId="8" xfId="0" applyFont="1" applyFill="1" applyBorder="1"/>
    <xf numFmtId="166" fontId="6" fillId="0" borderId="3" xfId="0" applyNumberFormat="1" applyFont="1" applyBorder="1"/>
    <xf numFmtId="171" fontId="7" fillId="0" borderId="10" xfId="0" applyFont="1" applyBorder="1"/>
    <xf numFmtId="171" fontId="7" fillId="27" borderId="2" xfId="0" applyFont="1" applyFill="1" applyBorder="1"/>
    <xf numFmtId="166" fontId="6" fillId="4" borderId="8" xfId="0" applyNumberFormat="1" applyFont="1" applyFill="1" applyBorder="1"/>
    <xf numFmtId="168" fontId="6" fillId="0" borderId="4" xfId="3" applyNumberFormat="1" applyFont="1" applyBorder="1" applyAlignment="1">
      <alignment horizontal="right"/>
    </xf>
    <xf numFmtId="171" fontId="7" fillId="10" borderId="1" xfId="0" applyFont="1" applyFill="1" applyBorder="1"/>
    <xf numFmtId="171" fontId="7" fillId="6" borderId="1" xfId="0" applyFont="1" applyFill="1" applyBorder="1"/>
    <xf numFmtId="2" fontId="6" fillId="0" borderId="13" xfId="0" applyNumberFormat="1" applyFont="1" applyBorder="1"/>
    <xf numFmtId="166" fontId="6" fillId="2" borderId="13" xfId="0" applyNumberFormat="1" applyFont="1" applyFill="1" applyBorder="1"/>
    <xf numFmtId="169" fontId="7" fillId="22" borderId="11" xfId="0" applyNumberFormat="1" applyFont="1" applyFill="1" applyBorder="1"/>
    <xf numFmtId="169" fontId="12" fillId="0" borderId="9" xfId="0" applyNumberFormat="1" applyFont="1" applyBorder="1"/>
    <xf numFmtId="169" fontId="7" fillId="10" borderId="2" xfId="0" applyNumberFormat="1" applyFont="1" applyFill="1" applyBorder="1"/>
    <xf numFmtId="169" fontId="7" fillId="13" borderId="11" xfId="0" applyNumberFormat="1" applyFont="1" applyFill="1" applyBorder="1"/>
    <xf numFmtId="169" fontId="7" fillId="27" borderId="2" xfId="0" applyNumberFormat="1" applyFont="1" applyFill="1" applyBorder="1"/>
    <xf numFmtId="169" fontId="7" fillId="31" borderId="11" xfId="0" applyNumberFormat="1" applyFont="1" applyFill="1" applyBorder="1"/>
    <xf numFmtId="169" fontId="7" fillId="10" borderId="1" xfId="0" applyNumberFormat="1" applyFont="1" applyFill="1" applyBorder="1"/>
    <xf numFmtId="169" fontId="7" fillId="6" borderId="1" xfId="0" applyNumberFormat="1" applyFont="1" applyFill="1" applyBorder="1"/>
    <xf numFmtId="169" fontId="7" fillId="21" borderId="5" xfId="0" applyNumberFormat="1" applyFont="1" applyFill="1" applyBorder="1"/>
    <xf numFmtId="2" fontId="7" fillId="0" borderId="22" xfId="0" applyNumberFormat="1" applyFont="1" applyBorder="1"/>
    <xf numFmtId="169" fontId="7" fillId="6" borderId="7" xfId="0" applyNumberFormat="1" applyFont="1" applyFill="1" applyBorder="1"/>
    <xf numFmtId="169" fontId="7" fillId="19" borderId="7" xfId="0" applyNumberFormat="1" applyFont="1" applyFill="1" applyBorder="1"/>
    <xf numFmtId="169" fontId="7" fillId="22" borderId="3" xfId="0" applyNumberFormat="1" applyFont="1" applyFill="1" applyBorder="1"/>
    <xf numFmtId="169" fontId="7" fillId="12" borderId="7" xfId="0" applyNumberFormat="1" applyFont="1" applyFill="1" applyBorder="1"/>
    <xf numFmtId="2" fontId="7" fillId="0" borderId="0" xfId="0" applyNumberFormat="1" applyFont="1" applyAlignment="1">
      <alignment horizontal="left"/>
    </xf>
    <xf numFmtId="169" fontId="81" fillId="8" borderId="3" xfId="0" applyNumberFormat="1" applyFont="1" applyFill="1" applyBorder="1"/>
    <xf numFmtId="2" fontId="7" fillId="0" borderId="24" xfId="0" applyNumberFormat="1" applyFont="1" applyBorder="1"/>
    <xf numFmtId="169" fontId="7" fillId="30" borderId="7" xfId="0" applyNumberFormat="1" applyFont="1" applyFill="1" applyBorder="1"/>
    <xf numFmtId="2" fontId="8" fillId="0" borderId="0" xfId="0" applyNumberFormat="1" applyFont="1"/>
    <xf numFmtId="169" fontId="12" fillId="0" borderId="5" xfId="0" applyNumberFormat="1" applyFont="1" applyBorder="1"/>
    <xf numFmtId="169" fontId="7" fillId="0" borderId="26" xfId="0" applyNumberFormat="1" applyFont="1" applyBorder="1"/>
    <xf numFmtId="169" fontId="7" fillId="27" borderId="7" xfId="0" applyNumberFormat="1" applyFont="1" applyFill="1" applyBorder="1"/>
    <xf numFmtId="169" fontId="12" fillId="0" borderId="24" xfId="0" applyNumberFormat="1" applyFont="1" applyBorder="1"/>
    <xf numFmtId="171" fontId="70" fillId="0" borderId="4" xfId="0" applyFont="1" applyBorder="1"/>
    <xf numFmtId="1" fontId="6" fillId="3" borderId="6" xfId="0" applyNumberFormat="1" applyFont="1" applyFill="1" applyBorder="1"/>
    <xf numFmtId="171" fontId="7" fillId="22" borderId="4" xfId="0" applyFont="1" applyFill="1" applyBorder="1"/>
    <xf numFmtId="171" fontId="81" fillId="8" borderId="4" xfId="0" applyFont="1" applyFill="1" applyBorder="1"/>
    <xf numFmtId="171" fontId="7" fillId="30" borderId="8" xfId="0" applyFont="1" applyFill="1" applyBorder="1"/>
    <xf numFmtId="171" fontId="70" fillId="4" borderId="4" xfId="0" applyFont="1" applyFill="1" applyBorder="1"/>
    <xf numFmtId="1" fontId="6" fillId="0" borderId="4" xfId="0" applyNumberFormat="1" applyFont="1" applyBorder="1"/>
    <xf numFmtId="171" fontId="7" fillId="0" borderId="27" xfId="0" applyFont="1" applyBorder="1"/>
    <xf numFmtId="171" fontId="7" fillId="27" borderId="8" xfId="0" applyFont="1" applyFill="1" applyBorder="1"/>
    <xf numFmtId="171" fontId="7" fillId="31" borderId="4" xfId="0" applyFont="1" applyFill="1" applyBorder="1" applyAlignment="1">
      <alignment vertical="center"/>
    </xf>
    <xf numFmtId="171" fontId="7" fillId="0" borderId="25" xfId="0" applyFont="1" applyBorder="1"/>
    <xf numFmtId="171" fontId="63" fillId="10" borderId="1" xfId="0" applyFont="1" applyFill="1" applyBorder="1"/>
    <xf numFmtId="171" fontId="70" fillId="4" borderId="8" xfId="0" applyFont="1" applyFill="1" applyBorder="1"/>
    <xf numFmtId="1" fontId="7" fillId="10" borderId="2" xfId="0" applyNumberFormat="1" applyFont="1" applyFill="1" applyBorder="1"/>
    <xf numFmtId="1" fontId="7" fillId="27" borderId="2" xfId="0" applyNumberFormat="1" applyFont="1" applyFill="1" applyBorder="1"/>
    <xf numFmtId="1" fontId="7" fillId="10" borderId="1" xfId="0" applyNumberFormat="1" applyFont="1" applyFill="1" applyBorder="1"/>
    <xf numFmtId="1" fontId="7" fillId="6" borderId="1" xfId="0" applyNumberFormat="1" applyFont="1" applyFill="1" applyBorder="1"/>
    <xf numFmtId="171" fontId="19" fillId="27" borderId="2" xfId="2" applyFont="1" applyFill="1" applyBorder="1" applyAlignment="1" applyProtection="1"/>
    <xf numFmtId="171" fontId="2" fillId="10" borderId="1" xfId="2" applyFill="1" applyBorder="1" applyAlignment="1" applyProtection="1"/>
    <xf numFmtId="171" fontId="19" fillId="6" borderId="1" xfId="2" applyFont="1" applyFill="1" applyBorder="1" applyAlignment="1" applyProtection="1"/>
    <xf numFmtId="174" fontId="7" fillId="10" borderId="2" xfId="1" applyNumberFormat="1" applyFont="1" applyFill="1" applyBorder="1"/>
    <xf numFmtId="174" fontId="7" fillId="27" borderId="2" xfId="1" applyNumberFormat="1" applyFont="1" applyFill="1" applyBorder="1"/>
    <xf numFmtId="166" fontId="7" fillId="10" borderId="1" xfId="1" applyNumberFormat="1" applyFont="1" applyFill="1" applyBorder="1"/>
    <xf numFmtId="174" fontId="7" fillId="6" borderId="1" xfId="1" applyNumberFormat="1" applyFont="1" applyFill="1" applyBorder="1"/>
    <xf numFmtId="173" fontId="7" fillId="10" borderId="2" xfId="0" applyNumberFormat="1" applyFont="1" applyFill="1" applyBorder="1"/>
    <xf numFmtId="173" fontId="7" fillId="27" borderId="2" xfId="0" applyNumberFormat="1" applyFont="1" applyFill="1" applyBorder="1"/>
    <xf numFmtId="173" fontId="7" fillId="6" borderId="1" xfId="0" applyNumberFormat="1" applyFont="1" applyFill="1" applyBorder="1"/>
    <xf numFmtId="165" fontId="28" fillId="0" borderId="0" xfId="1" applyNumberFormat="1" applyFont="1" applyFill="1" applyBorder="1" applyAlignment="1">
      <alignment horizontal="left"/>
    </xf>
    <xf numFmtId="165" fontId="7" fillId="6" borderId="0" xfId="1" applyNumberFormat="1" applyFont="1" applyFill="1" applyBorder="1"/>
    <xf numFmtId="2" fontId="7" fillId="8" borderId="4" xfId="1" applyNumberFormat="1" applyFont="1" applyFill="1" applyBorder="1" applyAlignment="1">
      <alignment horizontal="right"/>
    </xf>
    <xf numFmtId="170" fontId="6" fillId="0" borderId="4" xfId="0" applyNumberFormat="1" applyFont="1" applyBorder="1"/>
    <xf numFmtId="165" fontId="7" fillId="14" borderId="0" xfId="1" applyNumberFormat="1" applyFont="1" applyFill="1" applyBorder="1" applyAlignment="1">
      <alignment horizontal="left"/>
    </xf>
    <xf numFmtId="165" fontId="9" fillId="4" borderId="0" xfId="1" applyNumberFormat="1" applyFont="1" applyFill="1" applyBorder="1"/>
    <xf numFmtId="6" fontId="17" fillId="4" borderId="0" xfId="0" applyNumberFormat="1" applyFont="1" applyFill="1"/>
    <xf numFmtId="0" fontId="81" fillId="10" borderId="0" xfId="0" applyNumberFormat="1" applyFont="1" applyFill="1" applyAlignment="1">
      <alignment horizontal="right"/>
    </xf>
    <xf numFmtId="0" fontId="7" fillId="21" borderId="4" xfId="0" applyNumberFormat="1" applyFont="1" applyFill="1" applyBorder="1"/>
    <xf numFmtId="1" fontId="28" fillId="0" borderId="0" xfId="1" applyNumberFormat="1" applyFont="1" applyFill="1" applyBorder="1" applyAlignment="1">
      <alignment horizontal="left"/>
    </xf>
    <xf numFmtId="1" fontId="7" fillId="8" borderId="4" xfId="1" applyNumberFormat="1" applyFont="1" applyFill="1" applyBorder="1" applyAlignment="1">
      <alignment horizontal="right"/>
    </xf>
    <xf numFmtId="0" fontId="81" fillId="30" borderId="0" xfId="0" applyNumberFormat="1" applyFont="1" applyFill="1" applyAlignment="1">
      <alignment horizontal="right"/>
    </xf>
    <xf numFmtId="0" fontId="6" fillId="0" borderId="4" xfId="0" applyNumberFormat="1" applyFont="1" applyBorder="1" applyAlignment="1">
      <alignment horizontal="left"/>
    </xf>
    <xf numFmtId="165" fontId="86" fillId="10" borderId="4" xfId="1" applyNumberFormat="1" applyFont="1" applyFill="1" applyBorder="1" applyAlignment="1">
      <alignment horizontal="left"/>
    </xf>
    <xf numFmtId="165" fontId="9" fillId="8" borderId="0" xfId="1" applyNumberFormat="1" applyFont="1" applyFill="1" applyBorder="1"/>
    <xf numFmtId="165" fontId="7" fillId="10" borderId="8" xfId="1" applyNumberFormat="1" applyFont="1" applyFill="1" applyBorder="1" applyAlignment="1">
      <alignment horizontal="left"/>
    </xf>
    <xf numFmtId="165" fontId="7" fillId="10" borderId="4" xfId="1" applyNumberFormat="1" applyFont="1" applyFill="1" applyBorder="1" applyAlignment="1">
      <alignment horizontal="right"/>
    </xf>
    <xf numFmtId="166" fontId="13" fillId="4" borderId="0" xfId="1" applyNumberFormat="1" applyFont="1" applyFill="1" applyBorder="1"/>
    <xf numFmtId="165" fontId="7" fillId="27" borderId="8" xfId="1" applyNumberFormat="1" applyFont="1" applyFill="1" applyBorder="1" applyAlignment="1">
      <alignment horizontal="left"/>
    </xf>
    <xf numFmtId="165" fontId="7" fillId="10" borderId="6" xfId="1" applyNumberFormat="1" applyFont="1" applyFill="1" applyBorder="1" applyAlignment="1">
      <alignment horizontal="left"/>
    </xf>
    <xf numFmtId="165" fontId="7" fillId="6" borderId="6" xfId="1" applyNumberFormat="1" applyFont="1" applyFill="1" applyBorder="1" applyAlignment="1">
      <alignment horizontal="left"/>
    </xf>
    <xf numFmtId="8" fontId="17" fillId="10" borderId="0" xfId="0" applyNumberFormat="1" applyFont="1" applyFill="1"/>
    <xf numFmtId="166" fontId="7" fillId="6" borderId="0" xfId="1" applyNumberFormat="1" applyFont="1" applyFill="1" applyBorder="1"/>
    <xf numFmtId="165" fontId="7" fillId="10" borderId="2" xfId="1" applyNumberFormat="1" applyFont="1" applyFill="1" applyBorder="1" applyAlignment="1">
      <alignment horizontal="left"/>
    </xf>
    <xf numFmtId="165" fontId="7" fillId="35" borderId="4" xfId="1" applyNumberFormat="1" applyFont="1" applyFill="1" applyBorder="1" applyAlignment="1">
      <alignment horizontal="left"/>
    </xf>
    <xf numFmtId="165" fontId="7" fillId="7" borderId="0" xfId="1" applyNumberFormat="1" applyFont="1" applyFill="1" applyBorder="1" applyAlignment="1">
      <alignment horizontal="left"/>
    </xf>
    <xf numFmtId="14" fontId="7" fillId="10" borderId="2" xfId="0" applyNumberFormat="1" applyFont="1" applyFill="1" applyBorder="1"/>
    <xf numFmtId="171" fontId="20" fillId="4" borderId="0" xfId="2" applyFont="1" applyFill="1" applyBorder="1" applyAlignment="1" applyProtection="1"/>
    <xf numFmtId="171" fontId="19" fillId="10" borderId="0" xfId="2" applyFont="1" applyFill="1" applyBorder="1" applyAlignment="1" applyProtection="1"/>
    <xf numFmtId="171" fontId="19" fillId="6" borderId="2" xfId="2" applyFont="1" applyFill="1" applyBorder="1" applyAlignment="1" applyProtection="1"/>
    <xf numFmtId="171" fontId="7" fillId="17" borderId="3" xfId="0" applyFont="1" applyFill="1" applyBorder="1"/>
    <xf numFmtId="171" fontId="7" fillId="30" borderId="7" xfId="0" applyFont="1" applyFill="1" applyBorder="1"/>
    <xf numFmtId="171" fontId="81" fillId="15" borderId="12" xfId="0" applyFont="1" applyFill="1" applyBorder="1"/>
    <xf numFmtId="171" fontId="7" fillId="17" borderId="4" xfId="0" applyFont="1" applyFill="1" applyBorder="1"/>
    <xf numFmtId="171" fontId="7" fillId="14" borderId="6" xfId="0" applyFont="1" applyFill="1" applyBorder="1"/>
    <xf numFmtId="171" fontId="7" fillId="19" borderId="6" xfId="0" applyFont="1" applyFill="1" applyBorder="1"/>
    <xf numFmtId="171" fontId="81" fillId="15" borderId="13" xfId="0" applyFont="1" applyFill="1" applyBorder="1"/>
    <xf numFmtId="2" fontId="6" fillId="9" borderId="4" xfId="0" applyNumberFormat="1" applyFont="1" applyFill="1" applyBorder="1"/>
    <xf numFmtId="169" fontId="7" fillId="30" borderId="11" xfId="0" applyNumberFormat="1" applyFont="1" applyFill="1" applyBorder="1"/>
    <xf numFmtId="171" fontId="7" fillId="0" borderId="11" xfId="0" applyFont="1" applyBorder="1"/>
    <xf numFmtId="10" fontId="6" fillId="0" borderId="11" xfId="5" applyNumberFormat="1" applyFont="1" applyBorder="1"/>
    <xf numFmtId="169" fontId="7" fillId="17" borderId="7" xfId="0" applyNumberFormat="1" applyFont="1" applyFill="1" applyBorder="1"/>
    <xf numFmtId="169" fontId="81" fillId="31" borderId="3" xfId="0" applyNumberFormat="1" applyFont="1" applyFill="1" applyBorder="1"/>
    <xf numFmtId="169" fontId="7" fillId="19" borderId="5" xfId="0" applyNumberFormat="1" applyFont="1" applyFill="1" applyBorder="1"/>
    <xf numFmtId="169" fontId="81" fillId="15" borderId="3" xfId="0" applyNumberFormat="1" applyFont="1" applyFill="1" applyBorder="1"/>
    <xf numFmtId="171" fontId="67" fillId="10" borderId="4" xfId="0" applyFont="1" applyFill="1" applyBorder="1"/>
    <xf numFmtId="171" fontId="7" fillId="17" borderId="8" xfId="0" applyFont="1" applyFill="1" applyBorder="1"/>
    <xf numFmtId="171" fontId="67" fillId="10" borderId="8" xfId="0" applyFont="1" applyFill="1" applyBorder="1"/>
    <xf numFmtId="171" fontId="67" fillId="15" borderId="4" xfId="0" applyFont="1" applyFill="1" applyBorder="1"/>
    <xf numFmtId="171" fontId="81" fillId="31" borderId="4" xfId="0" applyFont="1" applyFill="1" applyBorder="1"/>
    <xf numFmtId="171" fontId="28" fillId="10" borderId="4" xfId="0" applyFont="1" applyFill="1" applyBorder="1"/>
    <xf numFmtId="171" fontId="81" fillId="15" borderId="4" xfId="0" applyFont="1" applyFill="1" applyBorder="1"/>
    <xf numFmtId="173" fontId="7" fillId="35" borderId="4" xfId="1" applyNumberFormat="1" applyFont="1" applyFill="1" applyBorder="1" applyAlignment="1"/>
    <xf numFmtId="173" fontId="7" fillId="36" borderId="4" xfId="1" applyNumberFormat="1" applyFont="1" applyFill="1" applyBorder="1" applyAlignment="1"/>
    <xf numFmtId="173" fontId="7" fillId="15" borderId="4" xfId="1" applyNumberFormat="1" applyFont="1" applyFill="1" applyBorder="1" applyAlignment="1"/>
    <xf numFmtId="165" fontId="7" fillId="26" borderId="4" xfId="1" applyNumberFormat="1" applyFont="1" applyFill="1" applyBorder="1" applyAlignment="1">
      <alignment horizontal="left"/>
    </xf>
    <xf numFmtId="173" fontId="7" fillId="8" borderId="4" xfId="1" applyNumberFormat="1" applyFont="1" applyFill="1" applyBorder="1" applyAlignment="1"/>
    <xf numFmtId="165" fontId="7" fillId="30" borderId="4" xfId="1" applyNumberFormat="1" applyFont="1" applyFill="1" applyBorder="1" applyAlignment="1">
      <alignment horizontal="left"/>
    </xf>
    <xf numFmtId="165" fontId="7" fillId="8" borderId="0" xfId="1" applyNumberFormat="1" applyFont="1" applyFill="1" applyBorder="1" applyAlignment="1">
      <alignment horizontal="left"/>
    </xf>
    <xf numFmtId="2" fontId="6" fillId="0" borderId="4" xfId="0" applyNumberFormat="1" applyFont="1" applyBorder="1"/>
    <xf numFmtId="2" fontId="7" fillId="8" borderId="4" xfId="1" applyNumberFormat="1" applyFont="1" applyFill="1" applyBorder="1" applyAlignment="1"/>
    <xf numFmtId="171" fontId="19" fillId="0" borderId="0" xfId="2" applyFont="1" applyBorder="1" applyAlignment="1" applyProtection="1"/>
    <xf numFmtId="171" fontId="2" fillId="31" borderId="2" xfId="2" applyFill="1" applyBorder="1" applyAlignment="1" applyProtection="1">
      <alignment vertical="center"/>
    </xf>
    <xf numFmtId="171" fontId="19" fillId="19" borderId="0" xfId="2" applyFont="1" applyFill="1" applyBorder="1" applyAlignment="1" applyProtection="1"/>
    <xf numFmtId="171" fontId="20" fillId="11" borderId="1" xfId="2" applyFont="1" applyFill="1" applyBorder="1" applyAlignment="1" applyProtection="1"/>
    <xf numFmtId="0" fontId="81" fillId="21" borderId="3" xfId="0" applyNumberFormat="1" applyFont="1" applyFill="1" applyBorder="1"/>
    <xf numFmtId="171" fontId="81" fillId="21" borderId="0" xfId="0" applyFont="1" applyFill="1"/>
    <xf numFmtId="169" fontId="81" fillId="21" borderId="0" xfId="0" applyNumberFormat="1" applyFont="1" applyFill="1"/>
    <xf numFmtId="1" fontId="81" fillId="21" borderId="0" xfId="0" applyNumberFormat="1" applyFont="1" applyFill="1"/>
    <xf numFmtId="3" fontId="81" fillId="21" borderId="0" xfId="0" applyNumberFormat="1" applyFont="1" applyFill="1"/>
    <xf numFmtId="174" fontId="81" fillId="21" borderId="0" xfId="1" applyNumberFormat="1" applyFont="1" applyFill="1"/>
    <xf numFmtId="173" fontId="81" fillId="21" borderId="0" xfId="0" applyNumberFormat="1" applyFont="1" applyFill="1"/>
    <xf numFmtId="0" fontId="81" fillId="21" borderId="4" xfId="0" applyNumberFormat="1" applyFont="1" applyFill="1" applyBorder="1" applyAlignment="1">
      <alignment horizontal="right"/>
    </xf>
    <xf numFmtId="14" fontId="81" fillId="21" borderId="0" xfId="0" applyNumberFormat="1" applyFont="1" applyFill="1"/>
    <xf numFmtId="179" fontId="7" fillId="10" borderId="4" xfId="0" applyNumberFormat="1" applyFont="1" applyFill="1" applyBorder="1"/>
    <xf numFmtId="166" fontId="6" fillId="0" borderId="10" xfId="1" applyNumberFormat="1" applyFont="1" applyBorder="1"/>
    <xf numFmtId="0" fontId="6" fillId="2" borderId="8" xfId="0" applyNumberFormat="1" applyFont="1" applyFill="1" applyBorder="1"/>
    <xf numFmtId="179" fontId="6" fillId="10" borderId="8" xfId="0" applyNumberFormat="1" applyFont="1" applyFill="1" applyBorder="1"/>
    <xf numFmtId="2" fontId="7" fillId="40" borderId="6" xfId="0" applyNumberFormat="1" applyFont="1" applyFill="1" applyBorder="1"/>
    <xf numFmtId="171" fontId="6" fillId="0" borderId="28" xfId="0" applyFont="1" applyBorder="1"/>
    <xf numFmtId="166" fontId="7" fillId="0" borderId="4" xfId="0" applyNumberFormat="1" applyFont="1" applyBorder="1"/>
    <xf numFmtId="171" fontId="77" fillId="0" borderId="3" xfId="0" applyFont="1" applyBorder="1" applyAlignment="1">
      <alignment horizontal="left"/>
    </xf>
    <xf numFmtId="1" fontId="77" fillId="0" borderId="8" xfId="0" applyNumberFormat="1" applyFont="1" applyBorder="1"/>
    <xf numFmtId="173" fontId="7" fillId="21" borderId="0" xfId="1" applyNumberFormat="1" applyFont="1" applyFill="1" applyAlignment="1"/>
    <xf numFmtId="171" fontId="81" fillId="11" borderId="0" xfId="0" applyFont="1" applyFill="1"/>
    <xf numFmtId="169" fontId="81" fillId="11" borderId="0" xfId="0" applyNumberFormat="1" applyFont="1" applyFill="1"/>
    <xf numFmtId="1" fontId="81" fillId="11" borderId="0" xfId="0" applyNumberFormat="1" applyFont="1" applyFill="1"/>
    <xf numFmtId="3" fontId="81" fillId="11" borderId="0" xfId="0" applyNumberFormat="1" applyFont="1" applyFill="1"/>
    <xf numFmtId="166" fontId="81" fillId="11" borderId="0" xfId="1" applyNumberFormat="1" applyFont="1" applyFill="1"/>
    <xf numFmtId="2" fontId="81" fillId="11" borderId="0" xfId="0" applyNumberFormat="1" applyFont="1" applyFill="1"/>
    <xf numFmtId="165" fontId="81" fillId="11" borderId="0" xfId="1" applyNumberFormat="1" applyFont="1" applyFill="1" applyAlignment="1">
      <alignment horizontal="left"/>
    </xf>
    <xf numFmtId="14" fontId="81" fillId="11" borderId="0" xfId="0" applyNumberFormat="1" applyFont="1" applyFill="1"/>
    <xf numFmtId="171" fontId="7" fillId="25" borderId="3" xfId="0" applyFont="1" applyFill="1" applyBorder="1"/>
    <xf numFmtId="169" fontId="7" fillId="25" borderId="0" xfId="0" applyNumberFormat="1" applyFont="1" applyFill="1"/>
    <xf numFmtId="3" fontId="7" fillId="25" borderId="0" xfId="0" applyNumberFormat="1" applyFont="1" applyFill="1"/>
    <xf numFmtId="174" fontId="9" fillId="25" borderId="0" xfId="1" applyNumberFormat="1" applyFont="1" applyFill="1"/>
    <xf numFmtId="173" fontId="7" fillId="25" borderId="0" xfId="0" applyNumberFormat="1" applyFont="1" applyFill="1"/>
    <xf numFmtId="14" fontId="7" fillId="25" borderId="0" xfId="0" applyNumberFormat="1" applyFont="1" applyFill="1"/>
    <xf numFmtId="171" fontId="6" fillId="0" borderId="0" xfId="0" applyFont="1" applyAlignment="1">
      <alignment horizontal="right"/>
    </xf>
    <xf numFmtId="166" fontId="7" fillId="4" borderId="4" xfId="1" applyNumberFormat="1" applyFont="1" applyFill="1" applyBorder="1" applyAlignment="1">
      <alignment horizontal="right"/>
    </xf>
    <xf numFmtId="166" fontId="13" fillId="4" borderId="4" xfId="1" applyNumberFormat="1" applyFont="1" applyFill="1" applyBorder="1" applyAlignment="1">
      <alignment horizontal="right"/>
    </xf>
    <xf numFmtId="166" fontId="7" fillId="0" borderId="4" xfId="1" applyNumberFormat="1" applyFont="1" applyBorder="1" applyAlignment="1">
      <alignment horizontal="right"/>
    </xf>
    <xf numFmtId="171" fontId="6" fillId="0" borderId="2" xfId="0" applyFont="1" applyBorder="1" applyAlignment="1">
      <alignment horizontal="right"/>
    </xf>
    <xf numFmtId="166" fontId="9" fillId="4" borderId="6" xfId="1" applyNumberFormat="1" applyFont="1" applyFill="1" applyBorder="1" applyAlignment="1">
      <alignment horizontal="right"/>
    </xf>
    <xf numFmtId="166" fontId="9" fillId="4" borderId="4" xfId="1" applyNumberFormat="1" applyFont="1" applyFill="1" applyBorder="1" applyAlignment="1">
      <alignment horizontal="right"/>
    </xf>
    <xf numFmtId="171" fontId="6" fillId="0" borderId="4" xfId="0" applyFont="1" applyBorder="1" applyAlignment="1">
      <alignment horizontal="right"/>
    </xf>
    <xf numFmtId="171" fontId="6" fillId="0" borderId="8" xfId="0" applyFont="1" applyBorder="1" applyAlignment="1">
      <alignment horizontal="right"/>
    </xf>
    <xf numFmtId="166" fontId="7" fillId="0" borderId="0" xfId="1" applyNumberFormat="1" applyFont="1" applyAlignment="1">
      <alignment horizontal="right"/>
    </xf>
    <xf numFmtId="166" fontId="7" fillId="0" borderId="6" xfId="1" applyNumberFormat="1" applyFont="1" applyBorder="1" applyAlignment="1">
      <alignment horizontal="right"/>
    </xf>
    <xf numFmtId="166" fontId="17" fillId="4" borderId="4" xfId="1" applyNumberFormat="1" applyFont="1" applyFill="1" applyBorder="1" applyAlignment="1">
      <alignment horizontal="right"/>
    </xf>
    <xf numFmtId="166" fontId="18" fillId="4" borderId="4" xfId="1" applyNumberFormat="1" applyFont="1" applyFill="1" applyBorder="1" applyAlignment="1">
      <alignment horizontal="right"/>
    </xf>
    <xf numFmtId="8" fontId="17" fillId="4" borderId="4" xfId="0" applyNumberFormat="1" applyFont="1" applyFill="1" applyBorder="1" applyAlignment="1">
      <alignment horizontal="right"/>
    </xf>
    <xf numFmtId="6" fontId="17" fillId="4" borderId="4" xfId="0" applyNumberFormat="1" applyFont="1" applyFill="1" applyBorder="1" applyAlignment="1">
      <alignment horizontal="right"/>
    </xf>
    <xf numFmtId="166" fontId="7" fillId="4" borderId="8" xfId="1" applyNumberFormat="1" applyFont="1" applyFill="1" applyBorder="1" applyAlignment="1">
      <alignment horizontal="right"/>
    </xf>
    <xf numFmtId="166" fontId="6" fillId="0" borderId="0" xfId="0" applyNumberFormat="1" applyFont="1" applyAlignment="1">
      <alignment horizontal="right"/>
    </xf>
    <xf numFmtId="166" fontId="7" fillId="5" borderId="4" xfId="1" applyNumberFormat="1" applyFont="1" applyFill="1" applyBorder="1" applyAlignment="1">
      <alignment horizontal="right"/>
    </xf>
    <xf numFmtId="166" fontId="7" fillId="6" borderId="4" xfId="1" applyNumberFormat="1" applyFont="1" applyFill="1" applyBorder="1" applyAlignment="1">
      <alignment horizontal="right"/>
    </xf>
    <xf numFmtId="44" fontId="6" fillId="5" borderId="4" xfId="1" applyFont="1" applyFill="1" applyBorder="1" applyAlignment="1">
      <alignment horizontal="right"/>
    </xf>
    <xf numFmtId="166" fontId="7" fillId="6" borderId="0" xfId="1" applyNumberFormat="1" applyFont="1" applyFill="1" applyAlignment="1">
      <alignment horizontal="right"/>
    </xf>
    <xf numFmtId="166" fontId="7" fillId="4" borderId="0" xfId="1" applyNumberFormat="1" applyFont="1" applyFill="1" applyAlignment="1">
      <alignment horizontal="right"/>
    </xf>
    <xf numFmtId="165" fontId="7" fillId="4" borderId="4" xfId="1" applyNumberFormat="1" applyFont="1" applyFill="1" applyBorder="1" applyAlignment="1">
      <alignment horizontal="right"/>
    </xf>
    <xf numFmtId="165" fontId="9" fillId="4" borderId="4" xfId="1" applyNumberFormat="1" applyFont="1" applyFill="1" applyBorder="1" applyAlignment="1">
      <alignment horizontal="right"/>
    </xf>
    <xf numFmtId="165" fontId="7" fillId="6" borderId="4" xfId="1" applyNumberFormat="1" applyFont="1" applyFill="1" applyBorder="1" applyAlignment="1">
      <alignment horizontal="right"/>
    </xf>
    <xf numFmtId="170" fontId="6" fillId="0" borderId="0" xfId="0" applyNumberFormat="1" applyFont="1" applyAlignment="1">
      <alignment horizontal="right"/>
    </xf>
    <xf numFmtId="165" fontId="7" fillId="0" borderId="4" xfId="1" applyNumberFormat="1" applyFont="1" applyBorder="1" applyAlignment="1">
      <alignment horizontal="right"/>
    </xf>
    <xf numFmtId="166" fontId="9" fillId="0" borderId="4" xfId="1" applyNumberFormat="1" applyFont="1" applyBorder="1" applyAlignment="1">
      <alignment horizontal="right"/>
    </xf>
    <xf numFmtId="44" fontId="6" fillId="0" borderId="4" xfId="1" applyFont="1" applyBorder="1" applyAlignment="1">
      <alignment horizontal="right"/>
    </xf>
    <xf numFmtId="165" fontId="7" fillId="7" borderId="4" xfId="1" applyNumberFormat="1" applyFont="1" applyFill="1" applyBorder="1" applyAlignment="1">
      <alignment horizontal="right"/>
    </xf>
    <xf numFmtId="44" fontId="7" fillId="0" borderId="4" xfId="1" applyFont="1" applyBorder="1" applyAlignment="1">
      <alignment horizontal="right"/>
    </xf>
    <xf numFmtId="171" fontId="7" fillId="0" borderId="8" xfId="0" applyFont="1" applyBorder="1" applyAlignment="1">
      <alignment horizontal="right"/>
    </xf>
    <xf numFmtId="171" fontId="7" fillId="0" borderId="0" xfId="0" applyFont="1" applyAlignment="1">
      <alignment horizontal="right"/>
    </xf>
    <xf numFmtId="165" fontId="7" fillId="8" borderId="4" xfId="1" applyNumberFormat="1" applyFont="1" applyFill="1" applyBorder="1" applyAlignment="1">
      <alignment horizontal="right"/>
    </xf>
    <xf numFmtId="165" fontId="7" fillId="13" borderId="4" xfId="1" applyNumberFormat="1" applyFont="1" applyFill="1" applyBorder="1" applyAlignment="1">
      <alignment horizontal="right"/>
    </xf>
    <xf numFmtId="165" fontId="7" fillId="11" borderId="4" xfId="1" applyNumberFormat="1" applyFont="1" applyFill="1" applyBorder="1" applyAlignment="1">
      <alignment horizontal="right"/>
    </xf>
    <xf numFmtId="165" fontId="7" fillId="12" borderId="4" xfId="1" applyNumberFormat="1" applyFont="1" applyFill="1" applyBorder="1" applyAlignment="1">
      <alignment horizontal="right"/>
    </xf>
    <xf numFmtId="165" fontId="7" fillId="14" borderId="4" xfId="1" applyNumberFormat="1" applyFont="1" applyFill="1" applyBorder="1" applyAlignment="1">
      <alignment horizontal="right"/>
    </xf>
    <xf numFmtId="171" fontId="77" fillId="0" borderId="0" xfId="0" applyFont="1" applyAlignment="1">
      <alignment horizontal="right"/>
    </xf>
    <xf numFmtId="2" fontId="77" fillId="0" borderId="0" xfId="0" applyNumberFormat="1" applyFont="1" applyAlignment="1">
      <alignment horizontal="right"/>
    </xf>
    <xf numFmtId="8" fontId="17" fillId="10" borderId="4" xfId="0" applyNumberFormat="1" applyFont="1" applyFill="1" applyBorder="1" applyAlignment="1">
      <alignment horizontal="right"/>
    </xf>
    <xf numFmtId="165" fontId="7" fillId="0" borderId="0" xfId="1" applyNumberFormat="1" applyFont="1" applyAlignment="1">
      <alignment horizontal="right"/>
    </xf>
    <xf numFmtId="171" fontId="7" fillId="0" borderId="4" xfId="0" applyFont="1" applyBorder="1" applyAlignment="1">
      <alignment horizontal="right"/>
    </xf>
    <xf numFmtId="165" fontId="7" fillId="15" borderId="4" xfId="1" applyNumberFormat="1" applyFont="1" applyFill="1" applyBorder="1" applyAlignment="1">
      <alignment horizontal="right"/>
    </xf>
    <xf numFmtId="165" fontId="7" fillId="23" borderId="4" xfId="1" applyNumberFormat="1" applyFont="1" applyFill="1" applyBorder="1" applyAlignment="1">
      <alignment horizontal="right"/>
    </xf>
    <xf numFmtId="165" fontId="7" fillId="16" borderId="0" xfId="1" applyNumberFormat="1" applyFont="1" applyFill="1" applyAlignment="1">
      <alignment horizontal="right"/>
    </xf>
    <xf numFmtId="165" fontId="7" fillId="14" borderId="0" xfId="1" applyNumberFormat="1" applyFont="1" applyFill="1" applyAlignment="1">
      <alignment horizontal="right"/>
    </xf>
    <xf numFmtId="165" fontId="7" fillId="15" borderId="0" xfId="1" applyNumberFormat="1" applyFont="1" applyFill="1" applyAlignment="1">
      <alignment horizontal="right"/>
    </xf>
    <xf numFmtId="165" fontId="7" fillId="15" borderId="0" xfId="1" applyNumberFormat="1" applyFont="1" applyFill="1" applyBorder="1" applyAlignment="1">
      <alignment horizontal="right"/>
    </xf>
    <xf numFmtId="165" fontId="7" fillId="20" borderId="0" xfId="1" applyNumberFormat="1" applyFont="1" applyFill="1" applyAlignment="1">
      <alignment horizontal="right"/>
    </xf>
    <xf numFmtId="165" fontId="7" fillId="21" borderId="4" xfId="1" applyNumberFormat="1" applyFont="1" applyFill="1" applyBorder="1" applyAlignment="1">
      <alignment horizontal="right"/>
    </xf>
    <xf numFmtId="165" fontId="7" fillId="10" borderId="0" xfId="1" applyNumberFormat="1" applyFont="1" applyFill="1" applyBorder="1" applyAlignment="1">
      <alignment horizontal="right"/>
    </xf>
    <xf numFmtId="165" fontId="7" fillId="19" borderId="0" xfId="1" applyNumberFormat="1" applyFont="1" applyFill="1" applyAlignment="1">
      <alignment horizontal="right"/>
    </xf>
    <xf numFmtId="165" fontId="7" fillId="22" borderId="0" xfId="1" applyNumberFormat="1" applyFont="1" applyFill="1" applyAlignment="1">
      <alignment horizontal="right"/>
    </xf>
    <xf numFmtId="165" fontId="7" fillId="24" borderId="4" xfId="1" applyNumberFormat="1" applyFont="1" applyFill="1" applyBorder="1" applyAlignment="1">
      <alignment horizontal="right"/>
    </xf>
    <xf numFmtId="171" fontId="7" fillId="15" borderId="4" xfId="0" applyFont="1" applyFill="1" applyBorder="1" applyAlignment="1">
      <alignment horizontal="right"/>
    </xf>
    <xf numFmtId="171" fontId="7" fillId="15" borderId="0" xfId="0" applyFont="1" applyFill="1" applyAlignment="1">
      <alignment horizontal="right"/>
    </xf>
    <xf numFmtId="165" fontId="7" fillId="27" borderId="0" xfId="1" applyNumberFormat="1" applyFont="1" applyFill="1" applyAlignment="1">
      <alignment horizontal="right"/>
    </xf>
    <xf numFmtId="165" fontId="86" fillId="10" borderId="0" xfId="1" applyNumberFormat="1" applyFont="1" applyFill="1" applyAlignment="1">
      <alignment horizontal="right"/>
    </xf>
    <xf numFmtId="165" fontId="7" fillId="28" borderId="0" xfId="1" applyNumberFormat="1" applyFont="1" applyFill="1" applyAlignment="1">
      <alignment horizontal="right"/>
    </xf>
    <xf numFmtId="165" fontId="7" fillId="21" borderId="0" xfId="1" applyNumberFormat="1" applyFont="1" applyFill="1" applyAlignment="1">
      <alignment horizontal="right"/>
    </xf>
    <xf numFmtId="0" fontId="7" fillId="10" borderId="0" xfId="0" applyNumberFormat="1" applyFont="1" applyFill="1" applyAlignment="1">
      <alignment horizontal="right"/>
    </xf>
    <xf numFmtId="0" fontId="7" fillId="0" borderId="4" xfId="0" applyNumberFormat="1" applyFont="1" applyBorder="1" applyAlignment="1">
      <alignment horizontal="right"/>
    </xf>
    <xf numFmtId="0" fontId="6" fillId="0" borderId="0" xfId="0" applyNumberFormat="1" applyFont="1" applyAlignment="1">
      <alignment horizontal="right"/>
    </xf>
    <xf numFmtId="0" fontId="81" fillId="15" borderId="4" xfId="0" applyNumberFormat="1" applyFont="1" applyFill="1" applyBorder="1" applyAlignment="1">
      <alignment horizontal="right"/>
    </xf>
    <xf numFmtId="0" fontId="81" fillId="29" borderId="4" xfId="0" applyNumberFormat="1" applyFont="1" applyFill="1" applyBorder="1" applyAlignment="1">
      <alignment horizontal="right"/>
    </xf>
    <xf numFmtId="0" fontId="7" fillId="29" borderId="4" xfId="0" applyNumberFormat="1" applyFont="1" applyFill="1" applyBorder="1" applyAlignment="1">
      <alignment horizontal="right"/>
    </xf>
    <xf numFmtId="0" fontId="77" fillId="14" borderId="4" xfId="0" applyNumberFormat="1" applyFont="1" applyFill="1" applyBorder="1" applyAlignment="1">
      <alignment horizontal="right"/>
    </xf>
    <xf numFmtId="0" fontId="7" fillId="31" borderId="0" xfId="0" applyNumberFormat="1" applyFont="1" applyFill="1" applyAlignment="1">
      <alignment horizontal="right"/>
    </xf>
    <xf numFmtId="165" fontId="7" fillId="31" borderId="4" xfId="1" applyNumberFormat="1" applyFont="1" applyFill="1" applyBorder="1" applyAlignment="1">
      <alignment horizontal="right"/>
    </xf>
    <xf numFmtId="0" fontId="7" fillId="32" borderId="4" xfId="0" applyNumberFormat="1" applyFont="1" applyFill="1" applyBorder="1" applyAlignment="1">
      <alignment horizontal="right"/>
    </xf>
    <xf numFmtId="165" fontId="7" fillId="31" borderId="0" xfId="1" applyNumberFormat="1" applyFont="1" applyFill="1" applyAlignment="1">
      <alignment horizontal="right"/>
    </xf>
    <xf numFmtId="165" fontId="7" fillId="30" borderId="0" xfId="1" applyNumberFormat="1" applyFont="1" applyFill="1" applyAlignment="1">
      <alignment horizontal="right"/>
    </xf>
    <xf numFmtId="165" fontId="7" fillId="34" borderId="0" xfId="1" applyNumberFormat="1" applyFont="1" applyFill="1" applyAlignment="1">
      <alignment horizontal="right"/>
    </xf>
    <xf numFmtId="0" fontId="7" fillId="31" borderId="4" xfId="0" applyNumberFormat="1" applyFont="1" applyFill="1" applyBorder="1" applyAlignment="1">
      <alignment horizontal="right"/>
    </xf>
    <xf numFmtId="165" fontId="7" fillId="0" borderId="0" xfId="1" applyNumberFormat="1" applyFont="1" applyFill="1" applyAlignment="1">
      <alignment horizontal="right"/>
    </xf>
    <xf numFmtId="2" fontId="7" fillId="0" borderId="4" xfId="0" applyNumberFormat="1" applyFont="1" applyBorder="1" applyAlignment="1">
      <alignment horizontal="right"/>
    </xf>
    <xf numFmtId="165" fontId="7" fillId="35" borderId="0" xfId="1" applyNumberFormat="1" applyFont="1" applyFill="1" applyAlignment="1">
      <alignment horizontal="right"/>
    </xf>
    <xf numFmtId="165" fontId="7" fillId="8" borderId="0" xfId="1" applyNumberFormat="1" applyFont="1" applyFill="1" applyAlignment="1">
      <alignment horizontal="right"/>
    </xf>
    <xf numFmtId="0" fontId="81" fillId="16" borderId="4" xfId="0" applyNumberFormat="1" applyFont="1" applyFill="1" applyBorder="1" applyAlignment="1">
      <alignment horizontal="right"/>
    </xf>
    <xf numFmtId="0" fontId="81" fillId="8" borderId="4" xfId="0" applyNumberFormat="1" applyFont="1" applyFill="1" applyBorder="1" applyAlignment="1">
      <alignment horizontal="right"/>
    </xf>
    <xf numFmtId="1" fontId="7" fillId="8" borderId="4" xfId="0" applyNumberFormat="1" applyFont="1" applyFill="1" applyBorder="1" applyAlignment="1">
      <alignment horizontal="right"/>
    </xf>
    <xf numFmtId="1" fontId="7" fillId="15" borderId="4" xfId="0" applyNumberFormat="1" applyFont="1" applyFill="1" applyBorder="1" applyAlignment="1">
      <alignment horizontal="right"/>
    </xf>
    <xf numFmtId="1" fontId="7" fillId="8" borderId="0" xfId="0" applyNumberFormat="1" applyFont="1" applyFill="1" applyAlignment="1">
      <alignment horizontal="right"/>
    </xf>
    <xf numFmtId="165" fontId="9" fillId="8" borderId="4" xfId="1" applyNumberFormat="1" applyFont="1" applyFill="1" applyBorder="1" applyAlignment="1">
      <alignment horizontal="right"/>
    </xf>
    <xf numFmtId="1" fontId="7" fillId="0" borderId="0" xfId="1" applyNumberFormat="1" applyFont="1" applyFill="1" applyAlignment="1">
      <alignment horizontal="right"/>
    </xf>
    <xf numFmtId="1" fontId="7" fillId="0" borderId="4" xfId="0" applyNumberFormat="1" applyFont="1" applyBorder="1" applyAlignment="1">
      <alignment horizontal="right"/>
    </xf>
    <xf numFmtId="0" fontId="7" fillId="0" borderId="0" xfId="0" applyNumberFormat="1" applyFont="1" applyAlignment="1">
      <alignment horizontal="right"/>
    </xf>
    <xf numFmtId="0" fontId="7" fillId="21" borderId="0" xfId="0" applyNumberFormat="1" applyFont="1" applyFill="1" applyAlignment="1">
      <alignment horizontal="right"/>
    </xf>
    <xf numFmtId="1" fontId="7" fillId="25" borderId="4" xfId="0" applyNumberFormat="1" applyFont="1" applyFill="1" applyBorder="1" applyAlignment="1">
      <alignment horizontal="right"/>
    </xf>
    <xf numFmtId="1" fontId="81" fillId="0" borderId="4" xfId="0" applyNumberFormat="1" applyFont="1" applyBorder="1" applyAlignment="1">
      <alignment horizontal="right"/>
    </xf>
    <xf numFmtId="171" fontId="7" fillId="0" borderId="6" xfId="0" applyFont="1" applyBorder="1" applyAlignment="1">
      <alignment horizontal="right"/>
    </xf>
    <xf numFmtId="0" fontId="7" fillId="21" borderId="3" xfId="0" applyNumberFormat="1" applyFont="1" applyFill="1" applyBorder="1"/>
    <xf numFmtId="0" fontId="7" fillId="21" borderId="4" xfId="0" applyNumberFormat="1" applyFont="1" applyFill="1" applyBorder="1" applyAlignment="1">
      <alignment horizontal="right"/>
    </xf>
    <xf numFmtId="171" fontId="7" fillId="15" borderId="0" xfId="0" applyFont="1" applyFill="1" applyAlignment="1">
      <alignment vertical="center"/>
    </xf>
    <xf numFmtId="0" fontId="7" fillId="15" borderId="4" xfId="0" applyNumberFormat="1" applyFont="1" applyFill="1" applyBorder="1" applyAlignment="1">
      <alignment horizontal="right"/>
    </xf>
    <xf numFmtId="171" fontId="7" fillId="41" borderId="0" xfId="0" applyFont="1" applyFill="1"/>
    <xf numFmtId="1" fontId="6" fillId="12" borderId="0" xfId="0" applyNumberFormat="1" applyFont="1" applyFill="1"/>
    <xf numFmtId="174" fontId="81" fillId="21" borderId="4" xfId="0" applyNumberFormat="1" applyFont="1" applyFill="1" applyBorder="1" applyAlignment="1">
      <alignment horizontal="right"/>
    </xf>
    <xf numFmtId="0" fontId="81" fillId="21" borderId="0" xfId="0" applyNumberFormat="1" applyFont="1" applyFill="1"/>
    <xf numFmtId="174" fontId="81" fillId="21" borderId="0" xfId="0" applyNumberFormat="1" applyFont="1" applyFill="1" applyAlignment="1">
      <alignment horizontal="right"/>
    </xf>
    <xf numFmtId="166" fontId="81" fillId="21" borderId="0" xfId="1" applyNumberFormat="1" applyFont="1" applyFill="1"/>
    <xf numFmtId="2" fontId="81" fillId="21" borderId="0" xfId="0" applyNumberFormat="1" applyFont="1" applyFill="1"/>
    <xf numFmtId="165" fontId="81" fillId="21" borderId="0" xfId="1" applyNumberFormat="1" applyFont="1" applyFill="1" applyAlignment="1">
      <alignment horizontal="left"/>
    </xf>
    <xf numFmtId="179" fontId="7" fillId="0" borderId="0" xfId="5" applyNumberFormat="1" applyFont="1"/>
    <xf numFmtId="179" fontId="7" fillId="0" borderId="0" xfId="0" applyNumberFormat="1" applyFont="1"/>
    <xf numFmtId="171" fontId="7" fillId="21" borderId="3" xfId="0" applyFont="1" applyFill="1" applyBorder="1"/>
    <xf numFmtId="174" fontId="9" fillId="21" borderId="0" xfId="1" applyNumberFormat="1" applyFont="1" applyFill="1"/>
    <xf numFmtId="1" fontId="7" fillId="21" borderId="4" xfId="0" applyNumberFormat="1" applyFont="1" applyFill="1" applyBorder="1" applyAlignment="1">
      <alignment horizontal="right"/>
    </xf>
    <xf numFmtId="173" fontId="7" fillId="0" borderId="0" xfId="1" applyNumberFormat="1" applyFont="1" applyFill="1" applyAlignment="1"/>
    <xf numFmtId="1" fontId="6" fillId="2" borderId="8" xfId="0" applyNumberFormat="1" applyFont="1" applyFill="1" applyBorder="1"/>
    <xf numFmtId="179" fontId="7" fillId="21" borderId="0" xfId="1" applyNumberFormat="1" applyFont="1" applyFill="1"/>
    <xf numFmtId="179" fontId="7" fillId="21" borderId="0" xfId="1" applyNumberFormat="1" applyFont="1" applyFill="1" applyAlignment="1">
      <alignment horizontal="right"/>
    </xf>
    <xf numFmtId="171" fontId="6" fillId="15" borderId="0" xfId="0" applyFont="1" applyFill="1"/>
    <xf numFmtId="179" fontId="7" fillId="15" borderId="0" xfId="1" applyNumberFormat="1" applyFont="1" applyFill="1"/>
    <xf numFmtId="179" fontId="7" fillId="32" borderId="0" xfId="1" applyNumberFormat="1" applyFont="1" applyFill="1"/>
    <xf numFmtId="171" fontId="106" fillId="21" borderId="0" xfId="0" applyFont="1" applyFill="1"/>
    <xf numFmtId="171" fontId="67" fillId="33" borderId="0" xfId="0" applyFont="1" applyFill="1"/>
    <xf numFmtId="171" fontId="19" fillId="33" borderId="0" xfId="2" applyFont="1" applyFill="1" applyAlignment="1" applyProtection="1"/>
    <xf numFmtId="179" fontId="7" fillId="33" borderId="0" xfId="1" applyNumberFormat="1" applyFont="1" applyFill="1"/>
    <xf numFmtId="169" fontId="7" fillId="41" borderId="0" xfId="0" applyNumberFormat="1" applyFont="1" applyFill="1"/>
    <xf numFmtId="171" fontId="67" fillId="41" borderId="0" xfId="0" applyFont="1" applyFill="1"/>
    <xf numFmtId="171" fontId="19" fillId="41" borderId="0" xfId="2" applyFont="1" applyFill="1" applyAlignment="1" applyProtection="1"/>
    <xf numFmtId="179" fontId="7" fillId="41" borderId="0" xfId="1" applyNumberFormat="1" applyFont="1" applyFill="1"/>
    <xf numFmtId="2" fontId="7" fillId="41" borderId="0" xfId="0" applyNumberFormat="1" applyFont="1" applyFill="1"/>
    <xf numFmtId="1" fontId="7" fillId="41" borderId="0" xfId="0" applyNumberFormat="1" applyFont="1" applyFill="1"/>
    <xf numFmtId="165" fontId="7" fillId="41" borderId="0" xfId="1" applyNumberFormat="1" applyFont="1" applyFill="1" applyAlignment="1">
      <alignment horizontal="left"/>
    </xf>
    <xf numFmtId="171" fontId="76" fillId="21" borderId="0" xfId="0" applyFont="1" applyFill="1"/>
    <xf numFmtId="171" fontId="81" fillId="32" borderId="3" xfId="0" applyFont="1" applyFill="1" applyBorder="1"/>
    <xf numFmtId="174" fontId="81" fillId="32" borderId="0" xfId="1" applyNumberFormat="1" applyFont="1" applyFill="1"/>
    <xf numFmtId="173" fontId="81" fillId="32" borderId="0" xfId="0" applyNumberFormat="1" applyFont="1" applyFill="1"/>
    <xf numFmtId="1" fontId="81" fillId="32" borderId="4" xfId="0" applyNumberFormat="1" applyFont="1" applyFill="1" applyBorder="1" applyAlignment="1">
      <alignment horizontal="right"/>
    </xf>
    <xf numFmtId="171" fontId="107" fillId="0" borderId="5" xfId="0" applyFont="1" applyBorder="1"/>
    <xf numFmtId="171" fontId="108" fillId="0" borderId="0" xfId="0" applyFont="1"/>
    <xf numFmtId="171" fontId="109" fillId="0" borderId="1" xfId="0" applyFont="1" applyBorder="1"/>
    <xf numFmtId="171" fontId="109" fillId="0" borderId="6" xfId="0" applyFont="1" applyBorder="1"/>
    <xf numFmtId="2" fontId="110" fillId="0" borderId="0" xfId="2" applyNumberFormat="1" applyFont="1" applyAlignment="1" applyProtection="1"/>
    <xf numFmtId="171" fontId="109" fillId="0" borderId="7" xfId="0" applyFont="1" applyBorder="1"/>
    <xf numFmtId="171" fontId="109" fillId="0" borderId="2" xfId="0" applyFont="1" applyBorder="1"/>
    <xf numFmtId="177" fontId="109" fillId="0" borderId="8" xfId="0" applyNumberFormat="1" applyFont="1" applyBorder="1"/>
    <xf numFmtId="2" fontId="109" fillId="0" borderId="0" xfId="0" applyNumberFormat="1" applyFont="1"/>
    <xf numFmtId="171" fontId="109" fillId="0" borderId="0" xfId="0" applyFont="1"/>
    <xf numFmtId="179" fontId="7" fillId="21" borderId="0" xfId="0" applyNumberFormat="1" applyFont="1" applyFill="1"/>
    <xf numFmtId="1" fontId="7" fillId="21" borderId="0" xfId="0" applyNumberFormat="1" applyFont="1" applyFill="1" applyAlignment="1">
      <alignment horizontal="right"/>
    </xf>
    <xf numFmtId="1" fontId="7" fillId="21" borderId="0" xfId="1" applyNumberFormat="1" applyFont="1" applyFill="1" applyBorder="1" applyAlignment="1">
      <alignment horizontal="right"/>
    </xf>
    <xf numFmtId="10" fontId="6" fillId="0" borderId="9" xfId="5" applyNumberFormat="1" applyFont="1" applyBorder="1"/>
    <xf numFmtId="166" fontId="6" fillId="0" borderId="29" xfId="1" applyNumberFormat="1" applyFont="1" applyBorder="1"/>
    <xf numFmtId="0" fontId="81" fillId="32" borderId="0" xfId="0" applyNumberFormat="1" applyFont="1" applyFill="1" applyAlignment="1">
      <alignment horizontal="right"/>
    </xf>
    <xf numFmtId="10" fontId="7" fillId="10" borderId="0" xfId="5" applyNumberFormat="1" applyFont="1" applyFill="1"/>
    <xf numFmtId="10" fontId="7" fillId="9" borderId="0" xfId="5" applyNumberFormat="1" applyFont="1" applyFill="1"/>
    <xf numFmtId="1" fontId="81" fillId="32" borderId="0" xfId="0" applyNumberFormat="1" applyFont="1" applyFill="1" applyAlignment="1">
      <alignment horizontal="left"/>
    </xf>
    <xf numFmtId="0" fontId="7" fillId="42" borderId="0" xfId="0" applyNumberFormat="1" applyFont="1" applyFill="1"/>
    <xf numFmtId="171" fontId="7" fillId="42" borderId="0" xfId="0" applyFont="1" applyFill="1"/>
    <xf numFmtId="169" fontId="7" fillId="42" borderId="0" xfId="0" applyNumberFormat="1" applyFont="1" applyFill="1"/>
    <xf numFmtId="1" fontId="7" fillId="42" borderId="0" xfId="0" applyNumberFormat="1" applyFont="1" applyFill="1"/>
    <xf numFmtId="3" fontId="7" fillId="42" borderId="0" xfId="0" applyNumberFormat="1" applyFont="1" applyFill="1"/>
    <xf numFmtId="174" fontId="7" fillId="42" borderId="0" xfId="1" applyNumberFormat="1" applyFont="1" applyFill="1"/>
    <xf numFmtId="173" fontId="7" fillId="42" borderId="0" xfId="0" applyNumberFormat="1" applyFont="1" applyFill="1"/>
    <xf numFmtId="0" fontId="7" fillId="42" borderId="0" xfId="0" applyNumberFormat="1" applyFont="1" applyFill="1" applyAlignment="1">
      <alignment horizontal="right"/>
    </xf>
    <xf numFmtId="14" fontId="7" fillId="42" borderId="0" xfId="0" applyNumberFormat="1" applyFont="1" applyFill="1"/>
    <xf numFmtId="0" fontId="81" fillId="0" borderId="0" xfId="0" applyNumberFormat="1" applyFont="1"/>
    <xf numFmtId="0" fontId="81" fillId="0" borderId="0" xfId="0" applyNumberFormat="1" applyFont="1" applyAlignment="1">
      <alignment horizontal="right"/>
    </xf>
    <xf numFmtId="169" fontId="7" fillId="37" borderId="0" xfId="0" applyNumberFormat="1" applyFont="1" applyFill="1"/>
    <xf numFmtId="1" fontId="7" fillId="37" borderId="0" xfId="0" applyNumberFormat="1" applyFont="1" applyFill="1"/>
    <xf numFmtId="171" fontId="2" fillId="37" borderId="0" xfId="2" applyFill="1" applyAlignment="1" applyProtection="1"/>
    <xf numFmtId="174" fontId="7" fillId="37" borderId="0" xfId="0" applyNumberFormat="1" applyFont="1" applyFill="1"/>
    <xf numFmtId="173" fontId="7" fillId="37" borderId="0" xfId="0" applyNumberFormat="1" applyFont="1" applyFill="1"/>
    <xf numFmtId="171" fontId="7" fillId="37" borderId="0" xfId="0" applyFont="1" applyFill="1" applyAlignment="1">
      <alignment horizontal="right"/>
    </xf>
    <xf numFmtId="14" fontId="7" fillId="37" borderId="0" xfId="0" applyNumberFormat="1" applyFont="1" applyFill="1"/>
    <xf numFmtId="0" fontId="7" fillId="37" borderId="0" xfId="0" applyNumberFormat="1" applyFont="1" applyFill="1"/>
    <xf numFmtId="3" fontId="7" fillId="37" borderId="0" xfId="0" applyNumberFormat="1" applyFont="1" applyFill="1"/>
    <xf numFmtId="174" fontId="7" fillId="37" borderId="0" xfId="1" applyNumberFormat="1" applyFont="1" applyFill="1"/>
    <xf numFmtId="0" fontId="7" fillId="37" borderId="0" xfId="0" applyNumberFormat="1" applyFont="1" applyFill="1" applyAlignment="1">
      <alignment horizontal="right"/>
    </xf>
    <xf numFmtId="171" fontId="19" fillId="9" borderId="0" xfId="2" applyFont="1" applyFill="1" applyAlignment="1" applyProtection="1"/>
    <xf numFmtId="171" fontId="19" fillId="36" borderId="0" xfId="2" applyFont="1" applyFill="1" applyAlignment="1" applyProtection="1"/>
    <xf numFmtId="171" fontId="111" fillId="8" borderId="0" xfId="0" applyFont="1" applyFill="1"/>
    <xf numFmtId="171" fontId="67" fillId="37" borderId="0" xfId="0" applyFont="1" applyFill="1"/>
    <xf numFmtId="0" fontId="67" fillId="37" borderId="0" xfId="0" applyNumberFormat="1" applyFont="1" applyFill="1" applyAlignment="1">
      <alignment horizontal="left"/>
    </xf>
    <xf numFmtId="166" fontId="7" fillId="37" borderId="0" xfId="1" applyNumberFormat="1" applyFont="1" applyFill="1"/>
    <xf numFmtId="2" fontId="7" fillId="37" borderId="0" xfId="0" applyNumberFormat="1" applyFont="1" applyFill="1"/>
    <xf numFmtId="165" fontId="7" fillId="37" borderId="0" xfId="1" applyNumberFormat="1" applyFont="1" applyFill="1" applyAlignment="1">
      <alignment horizontal="left"/>
    </xf>
    <xf numFmtId="0" fontId="6" fillId="37" borderId="0" xfId="0" applyNumberFormat="1" applyFont="1" applyFill="1"/>
    <xf numFmtId="0" fontId="7" fillId="37" borderId="0" xfId="0" applyNumberFormat="1" applyFont="1" applyFill="1" applyAlignment="1">
      <alignment horizontal="left"/>
    </xf>
    <xf numFmtId="171" fontId="19" fillId="37" borderId="0" xfId="2" applyFont="1" applyFill="1" applyAlignment="1" applyProtection="1"/>
    <xf numFmtId="171" fontId="67" fillId="37" borderId="0" xfId="0" applyFont="1" applyFill="1" applyAlignment="1">
      <alignment horizontal="left"/>
    </xf>
    <xf numFmtId="171" fontId="19" fillId="31" borderId="0" xfId="2" applyFont="1" applyFill="1" applyAlignment="1" applyProtection="1">
      <alignment vertical="center"/>
    </xf>
    <xf numFmtId="171" fontId="19" fillId="35" borderId="0" xfId="2" applyFont="1" applyFill="1" applyAlignment="1" applyProtection="1"/>
    <xf numFmtId="171" fontId="19" fillId="16" borderId="0" xfId="2" applyFont="1" applyFill="1" applyAlignment="1" applyProtection="1"/>
    <xf numFmtId="171" fontId="19" fillId="25" borderId="0" xfId="2" applyFont="1" applyFill="1" applyAlignment="1" applyProtection="1"/>
    <xf numFmtId="171" fontId="19" fillId="42" borderId="0" xfId="2" applyFont="1" applyFill="1" applyAlignment="1" applyProtection="1"/>
    <xf numFmtId="171" fontId="67" fillId="14" borderId="0" xfId="0" applyFont="1" applyFill="1"/>
    <xf numFmtId="171" fontId="76" fillId="0" borderId="0" xfId="0" applyFont="1"/>
    <xf numFmtId="174" fontId="76" fillId="0" borderId="0" xfId="1" applyNumberFormat="1" applyFont="1" applyFill="1"/>
    <xf numFmtId="173" fontId="76" fillId="0" borderId="0" xfId="0" applyNumberFormat="1" applyFont="1"/>
    <xf numFmtId="1" fontId="76" fillId="0" borderId="0" xfId="0" applyNumberFormat="1" applyFont="1"/>
    <xf numFmtId="165" fontId="76" fillId="0" borderId="4" xfId="1" applyNumberFormat="1" applyFont="1" applyFill="1" applyBorder="1" applyAlignment="1">
      <alignment horizontal="right"/>
    </xf>
    <xf numFmtId="14" fontId="76" fillId="0" borderId="0" xfId="0" applyNumberFormat="1" applyFont="1"/>
    <xf numFmtId="1" fontId="76" fillId="0" borderId="4" xfId="1" applyNumberFormat="1" applyFont="1" applyFill="1" applyBorder="1" applyAlignment="1">
      <alignment horizontal="right"/>
    </xf>
    <xf numFmtId="2" fontId="76" fillId="0" borderId="0" xfId="0" applyNumberFormat="1" applyFont="1"/>
    <xf numFmtId="180" fontId="76" fillId="0" borderId="0" xfId="0" applyNumberFormat="1" applyFont="1"/>
    <xf numFmtId="178" fontId="76" fillId="0" borderId="0" xfId="1" applyNumberFormat="1" applyFont="1" applyFill="1"/>
    <xf numFmtId="171" fontId="7" fillId="10" borderId="0" xfId="0" applyFont="1" applyFill="1" applyAlignment="1">
      <alignment horizontal="right"/>
    </xf>
    <xf numFmtId="179" fontId="7" fillId="40" borderId="4" xfId="0" applyNumberFormat="1" applyFont="1" applyFill="1" applyBorder="1"/>
    <xf numFmtId="179" fontId="6" fillId="40" borderId="8" xfId="0" applyNumberFormat="1" applyFont="1" applyFill="1" applyBorder="1"/>
    <xf numFmtId="177" fontId="7" fillId="0" borderId="0" xfId="0" applyNumberFormat="1" applyFont="1"/>
    <xf numFmtId="166" fontId="6" fillId="10" borderId="8" xfId="0" applyNumberFormat="1" applyFont="1" applyFill="1" applyBorder="1"/>
    <xf numFmtId="171" fontId="65" fillId="37" borderId="0" xfId="0" applyFont="1" applyFill="1"/>
    <xf numFmtId="2" fontId="67" fillId="37" borderId="0" xfId="0" applyNumberFormat="1" applyFont="1" applyFill="1" applyAlignment="1">
      <alignment horizontal="left"/>
    </xf>
    <xf numFmtId="171" fontId="26" fillId="37" borderId="0" xfId="2" applyFont="1" applyFill="1" applyAlignment="1" applyProtection="1"/>
    <xf numFmtId="165" fontId="7" fillId="37" borderId="0" xfId="1" applyNumberFormat="1" applyFont="1" applyFill="1" applyAlignment="1">
      <alignment horizontal="right"/>
    </xf>
    <xf numFmtId="171" fontId="81" fillId="37" borderId="0" xfId="0" applyFont="1" applyFill="1"/>
    <xf numFmtId="169" fontId="81" fillId="37" borderId="0" xfId="0" applyNumberFormat="1" applyFont="1" applyFill="1"/>
    <xf numFmtId="1" fontId="81" fillId="37" borderId="0" xfId="0" applyNumberFormat="1" applyFont="1" applyFill="1"/>
    <xf numFmtId="174" fontId="81" fillId="37" borderId="0" xfId="1" applyNumberFormat="1" applyFont="1" applyFill="1"/>
    <xf numFmtId="173" fontId="81" fillId="37" borderId="0" xfId="0" applyNumberFormat="1" applyFont="1" applyFill="1"/>
    <xf numFmtId="14" fontId="81" fillId="37" borderId="0" xfId="1" applyNumberFormat="1" applyFont="1" applyFill="1" applyAlignment="1">
      <alignment horizontal="right"/>
    </xf>
    <xf numFmtId="14" fontId="81" fillId="37" borderId="0" xfId="0" applyNumberFormat="1" applyFont="1" applyFill="1"/>
    <xf numFmtId="165" fontId="81" fillId="37" borderId="0" xfId="1" applyNumberFormat="1" applyFont="1" applyFill="1" applyAlignment="1">
      <alignment horizontal="right"/>
    </xf>
    <xf numFmtId="0" fontId="67" fillId="21" borderId="0" xfId="0" applyNumberFormat="1" applyFont="1" applyFill="1" applyAlignment="1">
      <alignment horizontal="left"/>
    </xf>
    <xf numFmtId="2" fontId="7" fillId="21" borderId="0" xfId="1" applyNumberFormat="1" applyFont="1" applyFill="1"/>
    <xf numFmtId="0" fontId="81" fillId="37" borderId="3" xfId="0" applyNumberFormat="1" applyFont="1" applyFill="1" applyBorder="1"/>
    <xf numFmtId="3" fontId="81" fillId="37" borderId="0" xfId="0" applyNumberFormat="1" applyFont="1" applyFill="1"/>
    <xf numFmtId="0" fontId="81" fillId="37" borderId="4" xfId="0" applyNumberFormat="1" applyFont="1" applyFill="1" applyBorder="1" applyAlignment="1">
      <alignment horizontal="right"/>
    </xf>
    <xf numFmtId="1" fontId="105" fillId="0" borderId="0" xfId="0" applyNumberFormat="1" applyFont="1"/>
    <xf numFmtId="10" fontId="1" fillId="0" borderId="0" xfId="5" applyNumberFormat="1" applyFont="1"/>
    <xf numFmtId="179" fontId="1" fillId="0" borderId="0" xfId="5" applyNumberFormat="1" applyFont="1"/>
    <xf numFmtId="171" fontId="81" fillId="30" borderId="3" xfId="0" applyFont="1" applyFill="1" applyBorder="1"/>
    <xf numFmtId="171" fontId="67" fillId="21" borderId="0" xfId="0" applyFont="1" applyFill="1" applyAlignment="1">
      <alignment horizontal="left"/>
    </xf>
    <xf numFmtId="2" fontId="67" fillId="0" borderId="0" xfId="0" applyNumberFormat="1" applyFont="1"/>
    <xf numFmtId="169" fontId="7" fillId="10" borderId="0" xfId="0" applyNumberFormat="1" applyFont="1" applyFill="1" applyAlignment="1">
      <alignment horizontal="right"/>
    </xf>
    <xf numFmtId="1" fontId="76" fillId="0" borderId="0" xfId="1" applyNumberFormat="1" applyFont="1" applyFill="1" applyBorder="1" applyAlignment="1">
      <alignment horizontal="right"/>
    </xf>
    <xf numFmtId="1" fontId="7" fillId="0" borderId="0" xfId="0" applyNumberFormat="1" applyFont="1" applyAlignment="1">
      <alignment horizontal="right"/>
    </xf>
    <xf numFmtId="171" fontId="26" fillId="0" borderId="0" xfId="2" applyFont="1" applyFill="1" applyAlignment="1" applyProtection="1"/>
    <xf numFmtId="179" fontId="2" fillId="37" borderId="0" xfId="2" applyNumberFormat="1" applyFill="1" applyAlignment="1" applyProtection="1"/>
    <xf numFmtId="165" fontId="7" fillId="37" borderId="4" xfId="1" applyNumberFormat="1" applyFont="1" applyFill="1" applyBorder="1" applyAlignment="1">
      <alignment horizontal="right"/>
    </xf>
    <xf numFmtId="179" fontId="19" fillId="21" borderId="0" xfId="2" applyNumberFormat="1" applyFont="1" applyFill="1" applyAlignment="1" applyProtection="1"/>
    <xf numFmtId="1" fontId="7" fillId="14" borderId="0" xfId="0" applyNumberFormat="1" applyFont="1" applyFill="1" applyAlignment="1">
      <alignment horizontal="left"/>
    </xf>
    <xf numFmtId="1" fontId="7" fillId="37" borderId="0" xfId="1" applyNumberFormat="1" applyFont="1" applyFill="1" applyAlignment="1">
      <alignment horizontal="right"/>
    </xf>
    <xf numFmtId="171" fontId="115" fillId="21" borderId="0" xfId="0" applyFont="1" applyFill="1" applyAlignment="1">
      <alignment vertical="center"/>
    </xf>
    <xf numFmtId="179" fontId="7" fillId="10" borderId="0" xfId="1" applyNumberFormat="1" applyFont="1" applyFill="1"/>
    <xf numFmtId="174" fontId="9" fillId="0" borderId="0" xfId="1" applyNumberFormat="1" applyFont="1" applyFill="1"/>
    <xf numFmtId="0" fontId="65" fillId="10" borderId="0" xfId="0" applyNumberFormat="1" applyFont="1" applyFill="1"/>
    <xf numFmtId="1" fontId="7" fillId="10" borderId="0" xfId="0" applyNumberFormat="1" applyFont="1" applyFill="1" applyAlignment="1">
      <alignment horizontal="right"/>
    </xf>
    <xf numFmtId="14" fontId="6" fillId="0" borderId="0" xfId="0" applyNumberFormat="1" applyFont="1" applyAlignment="1">
      <alignment horizontal="left"/>
    </xf>
    <xf numFmtId="171" fontId="7" fillId="43" borderId="0" xfId="0" applyFont="1" applyFill="1"/>
    <xf numFmtId="171" fontId="7" fillId="44" borderId="0" xfId="0" applyFont="1" applyFill="1"/>
    <xf numFmtId="2" fontId="7" fillId="44" borderId="0" xfId="0" applyNumberFormat="1" applyFont="1" applyFill="1"/>
    <xf numFmtId="1" fontId="7" fillId="21" borderId="0" xfId="0" applyNumberFormat="1" applyFont="1" applyFill="1" applyAlignment="1">
      <alignment horizontal="left"/>
    </xf>
    <xf numFmtId="1" fontId="6" fillId="0" borderId="0" xfId="0" applyNumberFormat="1" applyFont="1" applyAlignment="1">
      <alignment horizontal="left"/>
    </xf>
    <xf numFmtId="171" fontId="77" fillId="8" borderId="0" xfId="0" applyFont="1" applyFill="1"/>
    <xf numFmtId="169" fontId="77" fillId="8" borderId="0" xfId="0" applyNumberFormat="1" applyFont="1" applyFill="1"/>
    <xf numFmtId="171" fontId="116" fillId="8" borderId="0" xfId="0" applyFont="1" applyFill="1"/>
    <xf numFmtId="1" fontId="77" fillId="8" borderId="0" xfId="0" applyNumberFormat="1" applyFont="1" applyFill="1"/>
    <xf numFmtId="171" fontId="117" fillId="8" borderId="0" xfId="2" applyFont="1" applyFill="1" applyAlignment="1" applyProtection="1"/>
    <xf numFmtId="174" fontId="77" fillId="8" borderId="0" xfId="1" applyNumberFormat="1" applyFont="1" applyFill="1"/>
    <xf numFmtId="173" fontId="77" fillId="8" borderId="0" xfId="0" applyNumberFormat="1" applyFont="1" applyFill="1"/>
    <xf numFmtId="1" fontId="77" fillId="8" borderId="0" xfId="1" applyNumberFormat="1" applyFont="1" applyFill="1" applyAlignment="1">
      <alignment horizontal="right"/>
    </xf>
    <xf numFmtId="14" fontId="77" fillId="8" borderId="0" xfId="0" applyNumberFormat="1" applyFont="1" applyFill="1"/>
    <xf numFmtId="1" fontId="7" fillId="21" borderId="0" xfId="1" applyNumberFormat="1" applyFont="1" applyFill="1" applyAlignment="1">
      <alignment horizontal="right"/>
    </xf>
    <xf numFmtId="171" fontId="77" fillId="25" borderId="0" xfId="0" applyFont="1" applyFill="1"/>
    <xf numFmtId="169" fontId="7" fillId="30" borderId="0" xfId="0" applyNumberFormat="1" applyFont="1" applyFill="1" applyAlignment="1">
      <alignment horizontal="right"/>
    </xf>
    <xf numFmtId="0" fontId="7" fillId="30" borderId="0" xfId="0" applyNumberFormat="1" applyFont="1" applyFill="1" applyAlignment="1">
      <alignment horizontal="right"/>
    </xf>
    <xf numFmtId="1" fontId="6" fillId="23" borderId="0" xfId="0" applyNumberFormat="1" applyFont="1" applyFill="1"/>
    <xf numFmtId="1" fontId="6" fillId="19" borderId="0" xfId="0" applyNumberFormat="1" applyFont="1" applyFill="1"/>
    <xf numFmtId="171" fontId="78" fillId="0" borderId="0" xfId="0" applyFont="1"/>
    <xf numFmtId="0" fontId="78" fillId="0" borderId="0" xfId="0" applyNumberFormat="1" applyFont="1"/>
    <xf numFmtId="49" fontId="7" fillId="0" borderId="0" xfId="3" applyNumberFormat="1" applyFont="1" applyBorder="1" applyAlignment="1">
      <alignment horizontal="right"/>
    </xf>
    <xf numFmtId="1" fontId="118" fillId="0" borderId="0" xfId="0" applyNumberFormat="1" applyFont="1" applyAlignment="1">
      <alignment horizontal="right"/>
    </xf>
    <xf numFmtId="171" fontId="7" fillId="10" borderId="0" xfId="0" applyFont="1" applyFill="1" applyAlignment="1">
      <alignment horizontal="left"/>
    </xf>
    <xf numFmtId="1" fontId="7" fillId="10" borderId="0" xfId="1" applyNumberFormat="1" applyFont="1" applyFill="1" applyAlignment="1">
      <alignment horizontal="left"/>
    </xf>
    <xf numFmtId="171" fontId="58" fillId="0" borderId="24" xfId="0" applyFont="1" applyBorder="1" applyAlignment="1">
      <alignment horizontal="left"/>
    </xf>
    <xf numFmtId="1" fontId="58" fillId="0" borderId="25" xfId="0" applyNumberFormat="1" applyFont="1" applyBorder="1"/>
    <xf numFmtId="171" fontId="58" fillId="0" borderId="24" xfId="0" applyFont="1" applyBorder="1"/>
    <xf numFmtId="171" fontId="119" fillId="0" borderId="25" xfId="0" applyFont="1" applyBorder="1"/>
    <xf numFmtId="171" fontId="101" fillId="0" borderId="26" xfId="0" applyFont="1" applyBorder="1" applyAlignment="1">
      <alignment horizontal="left"/>
    </xf>
    <xf numFmtId="1" fontId="101" fillId="0" borderId="27" xfId="0" applyNumberFormat="1" applyFont="1" applyBorder="1"/>
    <xf numFmtId="0" fontId="67" fillId="0" borderId="0" xfId="0" applyNumberFormat="1" applyFont="1" applyAlignment="1">
      <alignment horizontal="left"/>
    </xf>
    <xf numFmtId="171" fontId="119" fillId="0" borderId="24" xfId="0" applyFont="1" applyBorder="1"/>
    <xf numFmtId="2" fontId="119" fillId="0" borderId="25" xfId="0" applyNumberFormat="1" applyFont="1" applyBorder="1"/>
    <xf numFmtId="169" fontId="7" fillId="0" borderId="24" xfId="0" applyNumberFormat="1" applyFont="1" applyBorder="1"/>
    <xf numFmtId="0" fontId="7" fillId="0" borderId="25" xfId="0" applyNumberFormat="1" applyFont="1" applyBorder="1"/>
    <xf numFmtId="174" fontId="6" fillId="21" borderId="0" xfId="0" applyNumberFormat="1" applyFont="1" applyFill="1"/>
    <xf numFmtId="171" fontId="7" fillId="21" borderId="4" xfId="0" applyFont="1" applyFill="1" applyBorder="1" applyAlignment="1">
      <alignment horizontal="right"/>
    </xf>
    <xf numFmtId="171" fontId="98" fillId="0" borderId="0" xfId="0" applyFont="1"/>
    <xf numFmtId="169" fontId="98" fillId="0" borderId="0" xfId="0" applyNumberFormat="1" applyFont="1"/>
    <xf numFmtId="1" fontId="98" fillId="0" borderId="0" xfId="0" applyNumberFormat="1" applyFont="1"/>
    <xf numFmtId="3" fontId="98" fillId="0" borderId="0" xfId="0" applyNumberFormat="1" applyFont="1"/>
    <xf numFmtId="171" fontId="120" fillId="0" borderId="0" xfId="2" applyFont="1" applyFill="1" applyAlignment="1" applyProtection="1"/>
    <xf numFmtId="166" fontId="98" fillId="0" borderId="0" xfId="1" applyNumberFormat="1" applyFont="1" applyFill="1"/>
    <xf numFmtId="2" fontId="98" fillId="0" borderId="0" xfId="0" applyNumberFormat="1" applyFont="1"/>
    <xf numFmtId="173" fontId="98" fillId="0" borderId="0" xfId="1" applyNumberFormat="1" applyFont="1" applyFill="1" applyAlignment="1"/>
    <xf numFmtId="14" fontId="98" fillId="0" borderId="0" xfId="0" applyNumberFormat="1" applyFont="1"/>
    <xf numFmtId="1" fontId="6" fillId="21" borderId="0" xfId="0" applyNumberFormat="1" applyFont="1" applyFill="1" applyAlignment="1">
      <alignment horizontal="left"/>
    </xf>
    <xf numFmtId="174" fontId="7" fillId="21" borderId="0" xfId="0" applyNumberFormat="1" applyFont="1" applyFill="1"/>
    <xf numFmtId="171" fontId="7" fillId="21" borderId="0" xfId="0" applyFont="1" applyFill="1" applyAlignment="1">
      <alignment horizontal="right"/>
    </xf>
    <xf numFmtId="0" fontId="7" fillId="15" borderId="0" xfId="0" applyNumberFormat="1" applyFont="1" applyFill="1"/>
    <xf numFmtId="166" fontId="7" fillId="10" borderId="0" xfId="4" applyNumberFormat="1" applyFont="1" applyFill="1" applyAlignment="1">
      <alignment horizontal="right"/>
    </xf>
    <xf numFmtId="166" fontId="7" fillId="15" borderId="0" xfId="0" applyNumberFormat="1" applyFont="1" applyFill="1" applyAlignment="1">
      <alignment horizontal="right"/>
    </xf>
    <xf numFmtId="166" fontId="7" fillId="19" borderId="0" xfId="0" applyNumberFormat="1" applyFont="1" applyFill="1" applyAlignment="1">
      <alignment horizontal="right"/>
    </xf>
    <xf numFmtId="2" fontId="6" fillId="35" borderId="0" xfId="0" applyNumberFormat="1" applyFont="1" applyFill="1"/>
    <xf numFmtId="166" fontId="6" fillId="35" borderId="0" xfId="0" applyNumberFormat="1" applyFont="1" applyFill="1" applyAlignment="1">
      <alignment horizontal="right"/>
    </xf>
    <xf numFmtId="1" fontId="114" fillId="15" borderId="0" xfId="0" applyNumberFormat="1" applyFont="1" applyFill="1"/>
    <xf numFmtId="1" fontId="114" fillId="0" borderId="0" xfId="0" applyNumberFormat="1" applyFont="1"/>
    <xf numFmtId="177" fontId="7" fillId="21" borderId="0" xfId="0" applyNumberFormat="1" applyFont="1" applyFill="1"/>
    <xf numFmtId="177" fontId="7" fillId="10" borderId="0" xfId="0" applyNumberFormat="1" applyFont="1" applyFill="1"/>
    <xf numFmtId="2" fontId="7" fillId="21" borderId="0" xfId="0" applyNumberFormat="1" applyFont="1" applyFill="1" applyAlignment="1">
      <alignment horizontal="right"/>
    </xf>
    <xf numFmtId="2" fontId="7" fillId="43" borderId="0" xfId="0" applyNumberFormat="1" applyFont="1" applyFill="1"/>
    <xf numFmtId="171" fontId="7" fillId="45" borderId="0" xfId="0" applyFont="1" applyFill="1"/>
    <xf numFmtId="1" fontId="7" fillId="45" borderId="0" xfId="0" applyNumberFormat="1" applyFont="1" applyFill="1"/>
    <xf numFmtId="171" fontId="2" fillId="45" borderId="0" xfId="2" applyFill="1" applyAlignment="1" applyProtection="1"/>
    <xf numFmtId="2" fontId="7" fillId="45" borderId="0" xfId="0" applyNumberFormat="1" applyFont="1" applyFill="1"/>
    <xf numFmtId="14" fontId="7" fillId="45" borderId="0" xfId="0" applyNumberFormat="1" applyFont="1" applyFill="1"/>
    <xf numFmtId="171" fontId="26" fillId="21" borderId="0" xfId="2" applyFont="1" applyFill="1" applyAlignment="1" applyProtection="1"/>
    <xf numFmtId="174" fontId="6" fillId="10" borderId="0" xfId="0" applyNumberFormat="1" applyFont="1" applyFill="1"/>
    <xf numFmtId="171" fontId="7" fillId="10" borderId="4" xfId="0" applyFont="1" applyFill="1" applyBorder="1" applyAlignment="1">
      <alignment horizontal="right"/>
    </xf>
    <xf numFmtId="174" fontId="7" fillId="30" borderId="0" xfId="0" applyNumberFormat="1" applyFont="1" applyFill="1"/>
    <xf numFmtId="171" fontId="7" fillId="30" borderId="0" xfId="0" applyFont="1" applyFill="1" applyAlignment="1">
      <alignment horizontal="right"/>
    </xf>
    <xf numFmtId="0" fontId="6" fillId="30" borderId="0" xfId="0" applyNumberFormat="1" applyFont="1" applyFill="1"/>
    <xf numFmtId="1" fontId="3" fillId="0" borderId="0" xfId="0" applyNumberFormat="1" applyFont="1" applyAlignment="1">
      <alignment horizontal="center"/>
    </xf>
    <xf numFmtId="1" fontId="80" fillId="12" borderId="0" xfId="0" applyNumberFormat="1" applyFont="1" applyFill="1"/>
    <xf numFmtId="14" fontId="7" fillId="0" borderId="0" xfId="0" applyNumberFormat="1" applyFont="1" applyAlignment="1">
      <alignment horizontal="right"/>
    </xf>
    <xf numFmtId="171" fontId="121" fillId="0" borderId="0" xfId="2" applyFont="1" applyFill="1" applyAlignment="1" applyProtection="1"/>
    <xf numFmtId="173" fontId="81" fillId="21" borderId="0" xfId="1" applyNumberFormat="1" applyFont="1" applyFill="1" applyAlignment="1"/>
    <xf numFmtId="169" fontId="7" fillId="21" borderId="0" xfId="0" applyNumberFormat="1" applyFont="1" applyFill="1" applyAlignment="1">
      <alignment horizontal="right"/>
    </xf>
    <xf numFmtId="166" fontId="9" fillId="21" borderId="4" xfId="1" applyNumberFormat="1" applyFont="1" applyFill="1" applyBorder="1" applyAlignment="1">
      <alignment horizontal="right"/>
    </xf>
    <xf numFmtId="171" fontId="65" fillId="21" borderId="0" xfId="0" applyFont="1" applyFill="1"/>
    <xf numFmtId="2" fontId="67" fillId="21" borderId="0" xfId="0" applyNumberFormat="1" applyFont="1" applyFill="1" applyAlignment="1">
      <alignment horizontal="left"/>
    </xf>
    <xf numFmtId="169" fontId="7" fillId="45" borderId="0" xfId="0" applyNumberFormat="1" applyFont="1" applyFill="1"/>
    <xf numFmtId="173" fontId="7" fillId="45" borderId="0" xfId="0" applyNumberFormat="1" applyFont="1" applyFill="1"/>
    <xf numFmtId="171" fontId="7" fillId="45" borderId="0" xfId="0" applyFont="1" applyFill="1" applyAlignment="1">
      <alignment horizontal="right"/>
    </xf>
    <xf numFmtId="174" fontId="7" fillId="15" borderId="0" xfId="0" applyNumberFormat="1" applyFont="1" applyFill="1"/>
    <xf numFmtId="2" fontId="7" fillId="4" borderId="0" xfId="0" applyNumberFormat="1" applyFont="1" applyFill="1"/>
    <xf numFmtId="2" fontId="7" fillId="0" borderId="2" xfId="0" applyNumberFormat="1" applyFont="1" applyBorder="1"/>
    <xf numFmtId="2" fontId="10" fillId="4" borderId="0" xfId="0" applyNumberFormat="1" applyFont="1" applyFill="1"/>
    <xf numFmtId="2" fontId="7" fillId="5" borderId="0" xfId="0" applyNumberFormat="1" applyFont="1" applyFill="1"/>
    <xf numFmtId="2" fontId="7" fillId="6" borderId="0" xfId="0" applyNumberFormat="1" applyFont="1" applyFill="1"/>
    <xf numFmtId="2" fontId="7" fillId="7" borderId="0" xfId="0" applyNumberFormat="1" applyFont="1" applyFill="1"/>
    <xf numFmtId="2" fontId="7" fillId="13" borderId="0" xfId="0" applyNumberFormat="1" applyFont="1" applyFill="1"/>
    <xf numFmtId="2" fontId="7" fillId="12" borderId="0" xfId="0" applyNumberFormat="1" applyFont="1" applyFill="1"/>
    <xf numFmtId="2" fontId="7" fillId="16" borderId="0" xfId="0" applyNumberFormat="1" applyFont="1" applyFill="1"/>
    <xf numFmtId="2" fontId="7" fillId="20" borderId="0" xfId="0" applyNumberFormat="1" applyFont="1" applyFill="1"/>
    <xf numFmtId="2" fontId="7" fillId="27" borderId="0" xfId="0" applyNumberFormat="1" applyFont="1" applyFill="1"/>
    <xf numFmtId="2" fontId="86" fillId="10" borderId="0" xfId="0" applyNumberFormat="1" applyFont="1" applyFill="1"/>
    <xf numFmtId="2" fontId="7" fillId="28" borderId="0" xfId="0" applyNumberFormat="1" applyFont="1" applyFill="1"/>
    <xf numFmtId="2" fontId="81" fillId="29" borderId="0" xfId="0" applyNumberFormat="1" applyFont="1" applyFill="1"/>
    <xf numFmtId="2" fontId="77" fillId="14" borderId="0" xfId="0" applyNumberFormat="1" applyFont="1" applyFill="1"/>
    <xf numFmtId="2" fontId="7" fillId="34" borderId="0" xfId="0" applyNumberFormat="1" applyFont="1" applyFill="1"/>
    <xf numFmtId="2" fontId="81" fillId="16" borderId="0" xfId="0" applyNumberFormat="1" applyFont="1" applyFill="1"/>
    <xf numFmtId="2" fontId="81" fillId="8" borderId="0" xfId="0" applyNumberFormat="1" applyFont="1" applyFill="1"/>
    <xf numFmtId="2" fontId="81" fillId="30" borderId="0" xfId="0" applyNumberFormat="1" applyFont="1" applyFill="1"/>
    <xf numFmtId="2" fontId="7" fillId="25" borderId="0" xfId="0" applyNumberFormat="1" applyFont="1" applyFill="1"/>
    <xf numFmtId="2" fontId="81" fillId="0" borderId="0" xfId="0" applyNumberFormat="1" applyFont="1"/>
    <xf numFmtId="2" fontId="7" fillId="42" borderId="0" xfId="0" applyNumberFormat="1" applyFont="1" applyFill="1"/>
    <xf numFmtId="2" fontId="81" fillId="37" borderId="0" xfId="0" applyNumberFormat="1" applyFont="1" applyFill="1"/>
    <xf numFmtId="2" fontId="77" fillId="8" borderId="0" xfId="0" applyNumberFormat="1" applyFont="1" applyFill="1"/>
    <xf numFmtId="2" fontId="6" fillId="0" borderId="0" xfId="0" applyNumberFormat="1" applyFont="1" applyAlignment="1">
      <alignment horizontal="right" vertical="top"/>
    </xf>
    <xf numFmtId="2" fontId="1" fillId="14" borderId="0" xfId="0" applyNumberFormat="1" applyFont="1" applyFill="1"/>
    <xf numFmtId="2" fontId="89" fillId="10" borderId="0" xfId="0" applyNumberFormat="1" applyFont="1" applyFill="1"/>
    <xf numFmtId="2" fontId="6" fillId="15" borderId="0" xfId="0" applyNumberFormat="1" applyFont="1" applyFill="1" applyAlignment="1">
      <alignment vertical="top"/>
    </xf>
    <xf numFmtId="168" fontId="3" fillId="15" borderId="0" xfId="3" applyNumberFormat="1" applyFont="1" applyFill="1"/>
    <xf numFmtId="171" fontId="122" fillId="0" borderId="0" xfId="0" applyFont="1" applyAlignment="1">
      <alignment vertical="center"/>
    </xf>
    <xf numFmtId="171" fontId="122" fillId="0" borderId="0" xfId="0" applyFont="1"/>
    <xf numFmtId="0" fontId="6" fillId="10" borderId="0" xfId="0" applyNumberFormat="1" applyFont="1" applyFill="1"/>
    <xf numFmtId="169" fontId="6" fillId="10" borderId="0" xfId="0" applyNumberFormat="1" applyFont="1" applyFill="1"/>
    <xf numFmtId="14" fontId="6" fillId="10" borderId="0" xfId="0" applyNumberFormat="1" applyFont="1" applyFill="1" applyAlignment="1">
      <alignment horizontal="left"/>
    </xf>
    <xf numFmtId="177" fontId="7" fillId="9" borderId="0" xfId="0" applyNumberFormat="1" applyFont="1" applyFill="1"/>
    <xf numFmtId="171" fontId="2" fillId="11" borderId="0" xfId="2" applyFill="1" applyAlignment="1" applyProtection="1"/>
    <xf numFmtId="171" fontId="7" fillId="11" borderId="0" xfId="0" applyFont="1" applyFill="1" applyAlignment="1">
      <alignment horizontal="right"/>
    </xf>
    <xf numFmtId="169" fontId="77" fillId="10" borderId="0" xfId="0" applyNumberFormat="1" applyFont="1" applyFill="1"/>
    <xf numFmtId="173" fontId="6" fillId="2" borderId="8" xfId="0" applyNumberFormat="1" applyFont="1" applyFill="1" applyBorder="1"/>
    <xf numFmtId="14" fontId="7" fillId="10" borderId="0" xfId="0" applyNumberFormat="1" applyFont="1" applyFill="1" applyAlignment="1">
      <alignment horizontal="right"/>
    </xf>
    <xf numFmtId="169" fontId="7" fillId="0" borderId="0" xfId="0" applyNumberFormat="1" applyFont="1" applyAlignment="1">
      <alignment horizontal="right"/>
    </xf>
    <xf numFmtId="171" fontId="65" fillId="45" borderId="0" xfId="0" applyFont="1" applyFill="1"/>
    <xf numFmtId="174" fontId="7" fillId="45" borderId="0" xfId="0" applyNumberFormat="1" applyFont="1" applyFill="1"/>
    <xf numFmtId="0" fontId="67" fillId="10" borderId="0" xfId="0" applyNumberFormat="1" applyFont="1" applyFill="1" applyAlignment="1">
      <alignment horizontal="left"/>
    </xf>
    <xf numFmtId="171" fontId="99" fillId="0" borderId="15" xfId="0" applyFont="1" applyBorder="1" applyAlignment="1">
      <alignment vertical="center" wrapText="1"/>
    </xf>
    <xf numFmtId="1" fontId="99" fillId="0" borderId="15" xfId="0" applyNumberFormat="1" applyFont="1" applyBorder="1" applyAlignment="1">
      <alignment horizontal="center" vertical="center" wrapText="1"/>
    </xf>
    <xf numFmtId="171" fontId="99" fillId="0" borderId="20" xfId="0" applyFont="1" applyBorder="1" applyAlignment="1">
      <alignment vertical="center" wrapText="1"/>
    </xf>
    <xf numFmtId="171" fontId="99" fillId="0" borderId="21" xfId="0" applyFont="1" applyBorder="1" applyAlignment="1">
      <alignment vertical="center" wrapText="1"/>
    </xf>
    <xf numFmtId="1" fontId="99" fillId="0" borderId="20" xfId="0" applyNumberFormat="1" applyFont="1" applyBorder="1" applyAlignment="1">
      <alignment horizontal="center" vertical="center" wrapText="1"/>
    </xf>
    <xf numFmtId="1" fontId="99" fillId="0" borderId="21" xfId="0" applyNumberFormat="1" applyFont="1" applyBorder="1" applyAlignment="1">
      <alignment horizontal="center" vertical="center" wrapText="1"/>
    </xf>
    <xf numFmtId="171" fontId="99" fillId="0" borderId="19" xfId="0" applyFont="1" applyBorder="1" applyAlignment="1">
      <alignment vertical="center" wrapText="1"/>
    </xf>
    <xf numFmtId="171" fontId="99" fillId="0" borderId="18" xfId="0" applyFont="1" applyBorder="1" applyAlignment="1">
      <alignment vertical="center" wrapText="1"/>
    </xf>
    <xf numFmtId="171" fontId="99" fillId="0" borderId="19" xfId="0" applyFont="1" applyBorder="1" applyAlignment="1">
      <alignment horizontal="center" vertical="center" wrapText="1"/>
    </xf>
    <xf numFmtId="171" fontId="99" fillId="0" borderId="18" xfId="0" applyFont="1" applyBorder="1" applyAlignment="1">
      <alignment horizontal="center" vertical="center" wrapText="1"/>
    </xf>
    <xf numFmtId="171" fontId="100" fillId="0" borderId="15" xfId="0" applyFont="1" applyBorder="1" applyAlignment="1">
      <alignment vertical="center" wrapText="1"/>
    </xf>
    <xf numFmtId="1" fontId="100" fillId="0" borderId="15" xfId="0" applyNumberFormat="1" applyFont="1" applyBorder="1" applyAlignment="1">
      <alignment horizontal="center" vertical="center" wrapText="1"/>
    </xf>
    <xf numFmtId="174" fontId="7" fillId="9" borderId="0" xfId="0" applyNumberFormat="1" applyFont="1" applyFill="1"/>
    <xf numFmtId="173" fontId="7" fillId="9" borderId="0" xfId="0" applyNumberFormat="1" applyFont="1" applyFill="1"/>
    <xf numFmtId="2" fontId="7" fillId="9" borderId="0" xfId="0" applyNumberFormat="1" applyFont="1" applyFill="1" applyAlignment="1">
      <alignment horizontal="right"/>
    </xf>
  </cellXfs>
  <cellStyles count="6">
    <cellStyle name="Euro" xfId="1" xr:uid="{00000000-0005-0000-0000-000000000000}"/>
    <cellStyle name="Lien hypertexte" xfId="2" builtinId="8"/>
    <cellStyle name="Milliers" xfId="3" builtinId="3"/>
    <cellStyle name="Monétaire" xfId="4" builtinId="4"/>
    <cellStyle name="Normal" xfId="0" builtinId="0"/>
    <cellStyle name="Pourcentage" xfId="5" builtinId="5"/>
  </cellStyles>
  <dxfs count="233"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3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3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colors>
    <mruColors>
      <color rgb="FF00FF00"/>
      <color rgb="FF339933"/>
      <color rgb="FFFF33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CA Locations 29N</a:t>
            </a:r>
            <a:r>
              <a:rPr lang="en-US" baseline="0"/>
              <a:t> :</a:t>
            </a:r>
            <a:r>
              <a:rPr lang="en-US"/>
              <a:t> Cleder, Plouescat,</a:t>
            </a:r>
            <a:r>
              <a:rPr lang="en-US" baseline="0"/>
              <a:t> </a:t>
            </a:r>
            <a:r>
              <a:rPr lang="en-US"/>
              <a:t>Roscoff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Dashboard!$A$7</c:f>
              <c:strCache>
                <c:ptCount val="1"/>
                <c:pt idx="0">
                  <c:v>CA Cleder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Dashboard!$K$6:$V$6</c:f>
              <c:numCache>
                <c:formatCode>0</c:formatCode>
                <c:ptCount val="1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</c:numCache>
            </c:numRef>
          </c:cat>
          <c:val>
            <c:numRef>
              <c:f>Dashboard!$K$7:$V$7</c:f>
              <c:numCache>
                <c:formatCode>0</c:formatCode>
                <c:ptCount val="12"/>
                <c:pt idx="0">
                  <c:v>36500.5</c:v>
                </c:pt>
                <c:pt idx="1">
                  <c:v>38312</c:v>
                </c:pt>
                <c:pt idx="2">
                  <c:v>41651</c:v>
                </c:pt>
                <c:pt idx="3">
                  <c:v>29428.93</c:v>
                </c:pt>
                <c:pt idx="4">
                  <c:v>42773.51</c:v>
                </c:pt>
                <c:pt idx="5">
                  <c:v>48832.5</c:v>
                </c:pt>
                <c:pt idx="6">
                  <c:v>56682</c:v>
                </c:pt>
                <c:pt idx="7">
                  <c:v>76238</c:v>
                </c:pt>
                <c:pt idx="8">
                  <c:v>62170</c:v>
                </c:pt>
                <c:pt idx="9">
                  <c:v>65145</c:v>
                </c:pt>
                <c:pt idx="10">
                  <c:v>27470</c:v>
                </c:pt>
                <c:pt idx="11">
                  <c:v>4134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D8-4D7C-8626-25B0218008D7}"/>
            </c:ext>
          </c:extLst>
        </c:ser>
        <c:ser>
          <c:idx val="1"/>
          <c:order val="1"/>
          <c:tx>
            <c:strRef>
              <c:f>Dashboard!$A$8</c:f>
              <c:strCache>
                <c:ptCount val="1"/>
                <c:pt idx="0">
                  <c:v>CA Plouescat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Dashboard!$K$6:$V$6</c:f>
              <c:numCache>
                <c:formatCode>0</c:formatCode>
                <c:ptCount val="1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</c:numCache>
            </c:numRef>
          </c:cat>
          <c:val>
            <c:numRef>
              <c:f>Dashboard!$K$8:$V$8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22559</c:v>
                </c:pt>
                <c:pt idx="3">
                  <c:v>25035</c:v>
                </c:pt>
                <c:pt idx="4">
                  <c:v>36585.54</c:v>
                </c:pt>
                <c:pt idx="5">
                  <c:v>51176.5</c:v>
                </c:pt>
                <c:pt idx="6">
                  <c:v>58171.21</c:v>
                </c:pt>
                <c:pt idx="7">
                  <c:v>62252.62</c:v>
                </c:pt>
                <c:pt idx="8">
                  <c:v>59526</c:v>
                </c:pt>
                <c:pt idx="9">
                  <c:v>62418</c:v>
                </c:pt>
                <c:pt idx="10">
                  <c:v>9286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D8-4D7C-8626-25B0218008D7}"/>
            </c:ext>
          </c:extLst>
        </c:ser>
        <c:ser>
          <c:idx val="2"/>
          <c:order val="2"/>
          <c:tx>
            <c:strRef>
              <c:f>Dashboard!$A$9</c:f>
              <c:strCache>
                <c:ptCount val="1"/>
                <c:pt idx="0">
                  <c:v>CA Roscoff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Dashboard!$K$6:$V$6</c:f>
              <c:numCache>
                <c:formatCode>0</c:formatCode>
                <c:ptCount val="1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</c:numCache>
            </c:numRef>
          </c:cat>
          <c:val>
            <c:numRef>
              <c:f>Dashboard!$K$9:$V$9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28243</c:v>
                </c:pt>
                <c:pt idx="8">
                  <c:v>40381</c:v>
                </c:pt>
                <c:pt idx="9">
                  <c:v>46107</c:v>
                </c:pt>
                <c:pt idx="10">
                  <c:v>1790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D8-4D7C-8626-25B0218008D7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100"/>
        <c:axId val="854981311"/>
        <c:axId val="863133135"/>
      </c:barChart>
      <c:catAx>
        <c:axId val="854981311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63133135"/>
        <c:crosses val="autoZero"/>
        <c:auto val="1"/>
        <c:lblAlgn val="ctr"/>
        <c:lblOffset val="100"/>
        <c:noMultiLvlLbl val="0"/>
      </c:catAx>
      <c:valAx>
        <c:axId val="86313313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854981311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sz="1400" b="0" i="0" u="none" strike="noStrike" kern="1200" spc="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CA annuel Cléder / Plouescat / Roscoff - 2018-2028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Dashboard!$A$7</c:f>
              <c:strCache>
                <c:ptCount val="1"/>
                <c:pt idx="0">
                  <c:v>CA Cleder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Dashboard!$B$6:$V$6</c:f>
              <c:numCache>
                <c:formatCode>0</c:formatCode>
                <c:ptCount val="1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</c:numCache>
            </c:numRef>
          </c:cat>
          <c:val>
            <c:numRef>
              <c:f>Dashboard!$B$7:$V$7</c:f>
              <c:numCache>
                <c:formatCode>0</c:formatCode>
                <c:ptCount val="12"/>
                <c:pt idx="0">
                  <c:v>36500.5</c:v>
                </c:pt>
                <c:pt idx="1">
                  <c:v>38312</c:v>
                </c:pt>
                <c:pt idx="2">
                  <c:v>41651</c:v>
                </c:pt>
                <c:pt idx="3">
                  <c:v>29428.93</c:v>
                </c:pt>
                <c:pt idx="4">
                  <c:v>42773.51</c:v>
                </c:pt>
                <c:pt idx="5">
                  <c:v>48832.5</c:v>
                </c:pt>
                <c:pt idx="6">
                  <c:v>56682</c:v>
                </c:pt>
                <c:pt idx="7">
                  <c:v>76238</c:v>
                </c:pt>
                <c:pt idx="8">
                  <c:v>62170</c:v>
                </c:pt>
                <c:pt idx="9">
                  <c:v>65145</c:v>
                </c:pt>
                <c:pt idx="10">
                  <c:v>27470</c:v>
                </c:pt>
                <c:pt idx="11">
                  <c:v>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D6-46F3-A411-7FD77C50727F}"/>
            </c:ext>
          </c:extLst>
        </c:ser>
        <c:ser>
          <c:idx val="1"/>
          <c:order val="1"/>
          <c:tx>
            <c:strRef>
              <c:f>Dashboard!$A$8</c:f>
              <c:strCache>
                <c:ptCount val="1"/>
                <c:pt idx="0">
                  <c:v>CA Plouescat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Dashboard!$B$6:$V$6</c:f>
              <c:numCache>
                <c:formatCode>0</c:formatCode>
                <c:ptCount val="1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</c:numCache>
            </c:numRef>
          </c:cat>
          <c:val>
            <c:numRef>
              <c:f>Dashboard!$B$8:$V$8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22559</c:v>
                </c:pt>
                <c:pt idx="3">
                  <c:v>25035</c:v>
                </c:pt>
                <c:pt idx="4">
                  <c:v>36585.54</c:v>
                </c:pt>
                <c:pt idx="5">
                  <c:v>51176.5</c:v>
                </c:pt>
                <c:pt idx="6">
                  <c:v>58171.21</c:v>
                </c:pt>
                <c:pt idx="7">
                  <c:v>62252.62</c:v>
                </c:pt>
                <c:pt idx="8">
                  <c:v>59526</c:v>
                </c:pt>
                <c:pt idx="9">
                  <c:v>62418</c:v>
                </c:pt>
                <c:pt idx="10">
                  <c:v>9286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D6-46F3-A411-7FD77C50727F}"/>
            </c:ext>
          </c:extLst>
        </c:ser>
        <c:ser>
          <c:idx val="2"/>
          <c:order val="2"/>
          <c:tx>
            <c:strRef>
              <c:f>Dashboard!$A$9</c:f>
              <c:strCache>
                <c:ptCount val="1"/>
                <c:pt idx="0">
                  <c:v>CA Roscoff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Dashboard!$B$6:$V$6</c:f>
              <c:numCache>
                <c:formatCode>0</c:formatCode>
                <c:ptCount val="12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>
                  <c:v>2022</c:v>
                </c:pt>
                <c:pt idx="6">
                  <c:v>2023</c:v>
                </c:pt>
                <c:pt idx="7">
                  <c:v>2024</c:v>
                </c:pt>
                <c:pt idx="8">
                  <c:v>2025</c:v>
                </c:pt>
                <c:pt idx="9">
                  <c:v>2026</c:v>
                </c:pt>
                <c:pt idx="10">
                  <c:v>2027</c:v>
                </c:pt>
                <c:pt idx="11">
                  <c:v>2028</c:v>
                </c:pt>
              </c:numCache>
            </c:numRef>
          </c:cat>
          <c:val>
            <c:numRef>
              <c:f>Dashboard!$B$9:$V$9</c:f>
              <c:numCache>
                <c:formatCode>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28243</c:v>
                </c:pt>
                <c:pt idx="8">
                  <c:v>40381</c:v>
                </c:pt>
                <c:pt idx="9">
                  <c:v>46107</c:v>
                </c:pt>
                <c:pt idx="10">
                  <c:v>1790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D6-46F3-A411-7FD77C50727F}"/>
            </c:ext>
          </c:extLst>
        </c:ser>
        <c:dLbls>
          <c:dLblPos val="t"/>
          <c:showLegendKey val="0"/>
          <c:showVal val="1"/>
          <c:showCatName val="0"/>
          <c:showSerName val="0"/>
          <c:showPercent val="0"/>
          <c:showBubbleSize val="0"/>
        </c:dLbls>
        <c:smooth val="0"/>
        <c:axId val="160099263"/>
        <c:axId val="160098783"/>
      </c:lineChart>
      <c:catAx>
        <c:axId val="160099263"/>
        <c:scaling>
          <c:orientation val="minMax"/>
        </c:scaling>
        <c:delete val="0"/>
        <c:axPos val="b"/>
        <c:numFmt formatCode="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0098783"/>
        <c:crosses val="autoZero"/>
        <c:auto val="1"/>
        <c:lblAlgn val="ctr"/>
        <c:lblOffset val="100"/>
        <c:noMultiLvlLbl val="0"/>
      </c:catAx>
      <c:valAx>
        <c:axId val="16009878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60099263"/>
        <c:crosses val="autoZero"/>
        <c:crossBetween val="between"/>
      </c:val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</c:dTable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390525</xdr:colOff>
      <xdr:row>73</xdr:row>
      <xdr:rowOff>123825</xdr:rowOff>
    </xdr:from>
    <xdr:to>
      <xdr:col>30</xdr:col>
      <xdr:colOff>323850</xdr:colOff>
      <xdr:row>101</xdr:row>
      <xdr:rowOff>104775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923906D3-6094-2AC6-74F5-C6A9828E7B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270514</xdr:colOff>
      <xdr:row>44</xdr:row>
      <xdr:rowOff>102870</xdr:rowOff>
    </xdr:from>
    <xdr:to>
      <xdr:col>31</xdr:col>
      <xdr:colOff>160019</xdr:colOff>
      <xdr:row>72</xdr:row>
      <xdr:rowOff>106680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72CCC165-642B-A165-4EE1-F7C38A40337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leder@orange.fr" TargetMode="External"/><Relationship Id="rId3" Type="http://schemas.openxmlformats.org/officeDocument/2006/relationships/hyperlink" Target="mailto:xavier.cadiou@wanadoo.fr" TargetMode="External"/><Relationship Id="rId7" Type="http://schemas.openxmlformats.org/officeDocument/2006/relationships/hyperlink" Target="mailto:xavier.cadiou@wanadoo.fr" TargetMode="External"/><Relationship Id="rId2" Type="http://schemas.openxmlformats.org/officeDocument/2006/relationships/hyperlink" Target="mailto:arinternational@orange.fr" TargetMode="External"/><Relationship Id="rId1" Type="http://schemas.openxmlformats.org/officeDocument/2006/relationships/hyperlink" Target="ftp://ftp.bretagneparadise.com/" TargetMode="External"/><Relationship Id="rId6" Type="http://schemas.openxmlformats.org/officeDocument/2006/relationships/hyperlink" Target="mailto:xavier.cadiou@wanadoo.fr" TargetMode="External"/><Relationship Id="rId5" Type="http://schemas.openxmlformats.org/officeDocument/2006/relationships/hyperlink" Target="mailto:cleder@orange.fr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xavier.cadiou@wanadoo.fr" TargetMode="External"/><Relationship Id="rId9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mailto:gregory.cagin@mpsa.com" TargetMode="External"/><Relationship Id="rId2" Type="http://schemas.openxmlformats.org/officeDocument/2006/relationships/hyperlink" Target="mailto:rodriguenavlet@hotmail.com" TargetMode="External"/><Relationship Id="rId1" Type="http://schemas.openxmlformats.org/officeDocument/2006/relationships/hyperlink" Target="mailto:sybilleschroedter@gmx.de" TargetMode="External"/><Relationship Id="rId6" Type="http://schemas.openxmlformats.org/officeDocument/2006/relationships/printerSettings" Target="../printerSettings/printerSettings6.bin"/><Relationship Id="rId5" Type="http://schemas.openxmlformats.org/officeDocument/2006/relationships/hyperlink" Target="mailto:martina.moss@web.de" TargetMode="External"/><Relationship Id="rId4" Type="http://schemas.openxmlformats.org/officeDocument/2006/relationships/hyperlink" Target="mailto:verdonharry@aol.com" TargetMode="Externa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hyperlink" Target="mailto:xavier.cadiou@wanadoo.fr" TargetMode="External"/><Relationship Id="rId13" Type="http://schemas.openxmlformats.org/officeDocument/2006/relationships/hyperlink" Target="mailto:arinternational@orange.fr" TargetMode="External"/><Relationship Id="rId18" Type="http://schemas.openxmlformats.org/officeDocument/2006/relationships/hyperlink" Target="mailto:arinternational@orange.fr" TargetMode="External"/><Relationship Id="rId3" Type="http://schemas.openxmlformats.org/officeDocument/2006/relationships/hyperlink" Target="mailto:arinternational@orange.fr" TargetMode="External"/><Relationship Id="rId21" Type="http://schemas.openxmlformats.org/officeDocument/2006/relationships/hyperlink" Target="mailto:arinternational@orange.fr" TargetMode="External"/><Relationship Id="rId7" Type="http://schemas.openxmlformats.org/officeDocument/2006/relationships/hyperlink" Target="mailto:xavier.cadiou@wanadoo.fr" TargetMode="External"/><Relationship Id="rId12" Type="http://schemas.openxmlformats.org/officeDocument/2006/relationships/hyperlink" Target="mailto:arinternational@orange.fr" TargetMode="External"/><Relationship Id="rId17" Type="http://schemas.openxmlformats.org/officeDocument/2006/relationships/hyperlink" Target="mailto:cleder@orange.fr" TargetMode="External"/><Relationship Id="rId25" Type="http://schemas.openxmlformats.org/officeDocument/2006/relationships/printerSettings" Target="../printerSettings/printerSettings7.bin"/><Relationship Id="rId2" Type="http://schemas.openxmlformats.org/officeDocument/2006/relationships/hyperlink" Target="mailto:bretagneyr@ftp.bretagneparadise.com" TargetMode="External"/><Relationship Id="rId16" Type="http://schemas.openxmlformats.org/officeDocument/2006/relationships/hyperlink" Target="mailto:xavier.cadiou@wanadoo.fr" TargetMode="External"/><Relationship Id="rId20" Type="http://schemas.openxmlformats.org/officeDocument/2006/relationships/hyperlink" Target="mailto:xavier.cadiou@wanadoo.fr" TargetMode="External"/><Relationship Id="rId1" Type="http://schemas.openxmlformats.org/officeDocument/2006/relationships/hyperlink" Target="ftp://ftp.bretagneparadise.com/" TargetMode="External"/><Relationship Id="rId6" Type="http://schemas.openxmlformats.org/officeDocument/2006/relationships/hyperlink" Target="mailto:xavier.cadiou@wanadoo.fr%20amoco1" TargetMode="External"/><Relationship Id="rId11" Type="http://schemas.openxmlformats.org/officeDocument/2006/relationships/hyperlink" Target="mailto:cleder@orange.fr" TargetMode="External"/><Relationship Id="rId24" Type="http://schemas.openxmlformats.org/officeDocument/2006/relationships/hyperlink" Target="mailto:xavier.cadiou@wanadoo.fr" TargetMode="External"/><Relationship Id="rId5" Type="http://schemas.openxmlformats.org/officeDocument/2006/relationships/hyperlink" Target="mailto:arinternartional@orange.fr" TargetMode="External"/><Relationship Id="rId15" Type="http://schemas.openxmlformats.org/officeDocument/2006/relationships/hyperlink" Target="http://192.168.1.1/" TargetMode="External"/><Relationship Id="rId23" Type="http://schemas.openxmlformats.org/officeDocument/2006/relationships/hyperlink" Target="mailto:xavier.cadiou@wanadoo.fr" TargetMode="External"/><Relationship Id="rId10" Type="http://schemas.openxmlformats.org/officeDocument/2006/relationships/hyperlink" Target="mailto:xavier.cadiou@wanadoo.fr" TargetMode="External"/><Relationship Id="rId19" Type="http://schemas.openxmlformats.org/officeDocument/2006/relationships/hyperlink" Target="mailto:xavier.cadiou@wanadoo.fr" TargetMode="External"/><Relationship Id="rId4" Type="http://schemas.openxmlformats.org/officeDocument/2006/relationships/hyperlink" Target="mailto:xavier.cadiou@wanadoo.fr" TargetMode="External"/><Relationship Id="rId9" Type="http://schemas.openxmlformats.org/officeDocument/2006/relationships/hyperlink" Target="mailto:cleder@orange.fr" TargetMode="External"/><Relationship Id="rId14" Type="http://schemas.openxmlformats.org/officeDocument/2006/relationships/hyperlink" Target="mailto:xavier.cadiou@wanadoo.fr" TargetMode="External"/><Relationship Id="rId22" Type="http://schemas.openxmlformats.org/officeDocument/2006/relationships/hyperlink" Target="mailto:xavier.cadiou@agrireseauxinternational.com" TargetMode="External"/></Relationships>
</file>

<file path=xl/worksheets/_rels/sheet13.xml.rels><?xml version="1.0" encoding="UTF-8" standalone="yes"?>
<Relationships xmlns="http://schemas.openxmlformats.org/package/2006/relationships"><Relationship Id="rId117" Type="http://schemas.openxmlformats.org/officeDocument/2006/relationships/hyperlink" Target="mailto:boucheron.elodie@laposte.net" TargetMode="External"/><Relationship Id="rId21" Type="http://schemas.openxmlformats.org/officeDocument/2006/relationships/hyperlink" Target="mailto:rodriguenavlet@hotmail.com" TargetMode="External"/><Relationship Id="rId42" Type="http://schemas.openxmlformats.org/officeDocument/2006/relationships/hyperlink" Target="mailto:kiki.tipunch@wanadoo.fr" TargetMode="External"/><Relationship Id="rId63" Type="http://schemas.openxmlformats.org/officeDocument/2006/relationships/hyperlink" Target="mailto:christiansen@bk-erkelenz.de" TargetMode="External"/><Relationship Id="rId84" Type="http://schemas.openxmlformats.org/officeDocument/2006/relationships/hyperlink" Target="mailto:axelschreiter@yahoo.de" TargetMode="External"/><Relationship Id="rId138" Type="http://schemas.openxmlformats.org/officeDocument/2006/relationships/hyperlink" Target="mailto:sbrech.180904@guest.booking.com" TargetMode="External"/><Relationship Id="rId159" Type="http://schemas.openxmlformats.org/officeDocument/2006/relationships/hyperlink" Target="mailto:frieder.schaefer@gmx.de" TargetMode="External"/><Relationship Id="rId170" Type="http://schemas.openxmlformats.org/officeDocument/2006/relationships/hyperlink" Target="mailto:faber@freiburger-buchhalter.com" TargetMode="External"/><Relationship Id="rId107" Type="http://schemas.openxmlformats.org/officeDocument/2006/relationships/hyperlink" Target="mailto:tran.giang@me.com" TargetMode="External"/><Relationship Id="rId11" Type="http://schemas.openxmlformats.org/officeDocument/2006/relationships/hyperlink" Target="mailto:mascha@blatow.de" TargetMode="External"/><Relationship Id="rId32" Type="http://schemas.openxmlformats.org/officeDocument/2006/relationships/hyperlink" Target="mailto:pierre.chalard@univ-bpclermont.fr" TargetMode="External"/><Relationship Id="rId53" Type="http://schemas.openxmlformats.org/officeDocument/2006/relationships/hyperlink" Target="mailto:nadja@schlup.net" TargetMode="External"/><Relationship Id="rId74" Type="http://schemas.openxmlformats.org/officeDocument/2006/relationships/hyperlink" Target="mailto:c.urban@hamburg.de" TargetMode="External"/><Relationship Id="rId128" Type="http://schemas.openxmlformats.org/officeDocument/2006/relationships/hyperlink" Target="mailto:marc.dewasme@wanadoo.fr" TargetMode="External"/><Relationship Id="rId149" Type="http://schemas.openxmlformats.org/officeDocument/2006/relationships/hyperlink" Target="mailto:brigittechanteloube@wanadoo.fr" TargetMode="External"/><Relationship Id="rId5" Type="http://schemas.openxmlformats.org/officeDocument/2006/relationships/hyperlink" Target="mailto:BeateSchweitzer@hotmail.com" TargetMode="External"/><Relationship Id="rId95" Type="http://schemas.openxmlformats.org/officeDocument/2006/relationships/hyperlink" Target="mailto:peggy.wolsfeld@education.lu" TargetMode="External"/><Relationship Id="rId160" Type="http://schemas.openxmlformats.org/officeDocument/2006/relationships/hyperlink" Target="mailto:to.m@me.com" TargetMode="External"/><Relationship Id="rId181" Type="http://schemas.openxmlformats.org/officeDocument/2006/relationships/hyperlink" Target="mailto:ronmeier@zeelandnet.nl" TargetMode="External"/><Relationship Id="rId22" Type="http://schemas.openxmlformats.org/officeDocument/2006/relationships/hyperlink" Target="mailto:m.moussie@numericable.com" TargetMode="External"/><Relationship Id="rId43" Type="http://schemas.openxmlformats.org/officeDocument/2006/relationships/hyperlink" Target="mailto:ed@ip-worldcom.ch" TargetMode="External"/><Relationship Id="rId64" Type="http://schemas.openxmlformats.org/officeDocument/2006/relationships/hyperlink" Target="mailto:evanlierde@coldsetprintingpartners.be" TargetMode="External"/><Relationship Id="rId118" Type="http://schemas.openxmlformats.org/officeDocument/2006/relationships/hyperlink" Target="mailto:lea.beck@live.fr" TargetMode="External"/><Relationship Id="rId139" Type="http://schemas.openxmlformats.org/officeDocument/2006/relationships/hyperlink" Target="mailto:sandra@rudelwohl-zach.de" TargetMode="External"/><Relationship Id="rId85" Type="http://schemas.openxmlformats.org/officeDocument/2006/relationships/hyperlink" Target="mailto:christele.mace@numericable.fr" TargetMode="External"/><Relationship Id="rId150" Type="http://schemas.openxmlformats.org/officeDocument/2006/relationships/hyperlink" Target="mailto:gmmanzi@aol.com" TargetMode="External"/><Relationship Id="rId171" Type="http://schemas.openxmlformats.org/officeDocument/2006/relationships/hyperlink" Target="mailto:stef-heinrich@web.de" TargetMode="External"/><Relationship Id="rId12" Type="http://schemas.openxmlformats.org/officeDocument/2006/relationships/hyperlink" Target="mailto:mic.ti@orange.fr" TargetMode="External"/><Relationship Id="rId33" Type="http://schemas.openxmlformats.org/officeDocument/2006/relationships/hyperlink" Target="mailto:gaelle7801@live.fr" TargetMode="External"/><Relationship Id="rId108" Type="http://schemas.openxmlformats.org/officeDocument/2006/relationships/hyperlink" Target="mailto:nathalie.bourson@education.lu" TargetMode="External"/><Relationship Id="rId129" Type="http://schemas.openxmlformats.org/officeDocument/2006/relationships/hyperlink" Target="mailto:nanton@pt.lu" TargetMode="External"/><Relationship Id="rId54" Type="http://schemas.openxmlformats.org/officeDocument/2006/relationships/hyperlink" Target="mailto:pepin@ensea.fr" TargetMode="External"/><Relationship Id="rId75" Type="http://schemas.openxmlformats.org/officeDocument/2006/relationships/hyperlink" Target="mailto:sonja.siekkoetter@ewetel.net" TargetMode="External"/><Relationship Id="rId96" Type="http://schemas.openxmlformats.org/officeDocument/2006/relationships/hyperlink" Target="mailto:cbtkw@email.de" TargetMode="External"/><Relationship Id="rId140" Type="http://schemas.openxmlformats.org/officeDocument/2006/relationships/hyperlink" Target="mailto:tina.albrecht712@gmail.com" TargetMode="External"/><Relationship Id="rId161" Type="http://schemas.openxmlformats.org/officeDocument/2006/relationships/hyperlink" Target="mailto:michaelamandt@yahoo.de" TargetMode="External"/><Relationship Id="rId182" Type="http://schemas.openxmlformats.org/officeDocument/2006/relationships/hyperlink" Target="mailto:ludivicthebault@yahoo.com" TargetMode="External"/><Relationship Id="rId6" Type="http://schemas.openxmlformats.org/officeDocument/2006/relationships/hyperlink" Target="mailto:coccinelle60@gmail.com" TargetMode="External"/><Relationship Id="rId23" Type="http://schemas.openxmlformats.org/officeDocument/2006/relationships/hyperlink" Target="mailto:jutta.holnburger@gmx.de" TargetMode="External"/><Relationship Id="rId119" Type="http://schemas.openxmlformats.org/officeDocument/2006/relationships/hyperlink" Target="mailto:gerdenis@wanadoo.fr" TargetMode="External"/><Relationship Id="rId44" Type="http://schemas.openxmlformats.org/officeDocument/2006/relationships/hyperlink" Target="mailto:andreas.grimm2@web.de" TargetMode="External"/><Relationship Id="rId65" Type="http://schemas.openxmlformats.org/officeDocument/2006/relationships/hyperlink" Target="mailto:cprevost74@yahoo.fr" TargetMode="External"/><Relationship Id="rId86" Type="http://schemas.openxmlformats.org/officeDocument/2006/relationships/hyperlink" Target="mailto:erwanhubert@free.fr" TargetMode="External"/><Relationship Id="rId130" Type="http://schemas.openxmlformats.org/officeDocument/2006/relationships/hyperlink" Target="mailto:nikolerdc@wanadoo.fr" TargetMode="External"/><Relationship Id="rId151" Type="http://schemas.openxmlformats.org/officeDocument/2006/relationships/hyperlink" Target="mailto:katrin.fahr@googlemail.com" TargetMode="External"/><Relationship Id="rId172" Type="http://schemas.openxmlformats.org/officeDocument/2006/relationships/hyperlink" Target="mailto:anny_393@gmx.at" TargetMode="External"/><Relationship Id="rId13" Type="http://schemas.openxmlformats.org/officeDocument/2006/relationships/hyperlink" Target="mailto:wunderhorn@t-online.de" TargetMode="External"/><Relationship Id="rId18" Type="http://schemas.openxmlformats.org/officeDocument/2006/relationships/hyperlink" Target="mailto:sabine.lenk@mri-online.de" TargetMode="External"/><Relationship Id="rId39" Type="http://schemas.openxmlformats.org/officeDocument/2006/relationships/hyperlink" Target="mailto:ebschmitter@bluewin.ch" TargetMode="External"/><Relationship Id="rId109" Type="http://schemas.openxmlformats.org/officeDocument/2006/relationships/hyperlink" Target="mailto:x-oph@gmx.net" TargetMode="External"/><Relationship Id="rId34" Type="http://schemas.openxmlformats.org/officeDocument/2006/relationships/hyperlink" Target="mailto:biggil@hotmail.de" TargetMode="External"/><Relationship Id="rId50" Type="http://schemas.openxmlformats.org/officeDocument/2006/relationships/hyperlink" Target="mailto:nadine.schuler@uniklinikum-saarland.de" TargetMode="External"/><Relationship Id="rId55" Type="http://schemas.openxmlformats.org/officeDocument/2006/relationships/hyperlink" Target="mailto:kerri1409@googlemail.com" TargetMode="External"/><Relationship Id="rId76" Type="http://schemas.openxmlformats.org/officeDocument/2006/relationships/hyperlink" Target="mailto:lindner1984@yahoo.de" TargetMode="External"/><Relationship Id="rId97" Type="http://schemas.openxmlformats.org/officeDocument/2006/relationships/hyperlink" Target="mailto:astrigl@gmx.de" TargetMode="External"/><Relationship Id="rId104" Type="http://schemas.openxmlformats.org/officeDocument/2006/relationships/hyperlink" Target="mailto:n.mueller@radio-homburg.de" TargetMode="External"/><Relationship Id="rId120" Type="http://schemas.openxmlformats.org/officeDocument/2006/relationships/hyperlink" Target="mailto:rodriguenavlet@hotmail.com" TargetMode="External"/><Relationship Id="rId125" Type="http://schemas.openxmlformats.org/officeDocument/2006/relationships/hyperlink" Target="mailto:anke.hillebrandt@tiscali.de" TargetMode="External"/><Relationship Id="rId141" Type="http://schemas.openxmlformats.org/officeDocument/2006/relationships/hyperlink" Target="mailto:steph-cheyenne@orange.fr" TargetMode="External"/><Relationship Id="rId146" Type="http://schemas.openxmlformats.org/officeDocument/2006/relationships/hyperlink" Target="mailto:karin.voneicken@gmx.de" TargetMode="External"/><Relationship Id="rId167" Type="http://schemas.openxmlformats.org/officeDocument/2006/relationships/hyperlink" Target="mailto:nadia.koesters@gmx.de" TargetMode="External"/><Relationship Id="rId188" Type="http://schemas.openxmlformats.org/officeDocument/2006/relationships/hyperlink" Target="mailto:cdoering@mailbox.org" TargetMode="External"/><Relationship Id="rId7" Type="http://schemas.openxmlformats.org/officeDocument/2006/relationships/hyperlink" Target="mailto:nadja.scaglione@bluewin.ch" TargetMode="External"/><Relationship Id="rId71" Type="http://schemas.openxmlformats.org/officeDocument/2006/relationships/hyperlink" Target="mailto:niegengerd@hotmail.com" TargetMode="External"/><Relationship Id="rId92" Type="http://schemas.openxmlformats.org/officeDocument/2006/relationships/hyperlink" Target="mailto:rainer.wittemann@hotmail.de" TargetMode="External"/><Relationship Id="rId162" Type="http://schemas.openxmlformats.org/officeDocument/2006/relationships/hyperlink" Target="mailto:joyo67_04@yahoo.com" TargetMode="External"/><Relationship Id="rId183" Type="http://schemas.openxmlformats.org/officeDocument/2006/relationships/hyperlink" Target="mailto:m.inhafer@live.de" TargetMode="External"/><Relationship Id="rId2" Type="http://schemas.openxmlformats.org/officeDocument/2006/relationships/hyperlink" Target="mailto:sebastien.cornu@bluewin.ch" TargetMode="External"/><Relationship Id="rId29" Type="http://schemas.openxmlformats.org/officeDocument/2006/relationships/hyperlink" Target="mailto:joerg.parzl@mellinundmellin.de" TargetMode="External"/><Relationship Id="rId24" Type="http://schemas.openxmlformats.org/officeDocument/2006/relationships/hyperlink" Target="mailto:markus.kandels@web.de" TargetMode="External"/><Relationship Id="rId40" Type="http://schemas.openxmlformats.org/officeDocument/2006/relationships/hyperlink" Target="mailto:guenterkrauch@web.de" TargetMode="External"/><Relationship Id="rId45" Type="http://schemas.openxmlformats.org/officeDocument/2006/relationships/hyperlink" Target="mailto:helene.losfelt@dbmail.com" TargetMode="External"/><Relationship Id="rId66" Type="http://schemas.openxmlformats.org/officeDocument/2006/relationships/hyperlink" Target="mailto:spajean@wanadoo.fr" TargetMode="External"/><Relationship Id="rId87" Type="http://schemas.openxmlformats.org/officeDocument/2006/relationships/hyperlink" Target="mailto:N.koeninger@web.de" TargetMode="External"/><Relationship Id="rId110" Type="http://schemas.openxmlformats.org/officeDocument/2006/relationships/hyperlink" Target="mailto:erwanhubert@free.fr" TargetMode="External"/><Relationship Id="rId115" Type="http://schemas.openxmlformats.org/officeDocument/2006/relationships/hyperlink" Target="mailto:ratilgner@aol.com" TargetMode="External"/><Relationship Id="rId131" Type="http://schemas.openxmlformats.org/officeDocument/2006/relationships/hyperlink" Target="mailto:jhugow@snafu.de" TargetMode="External"/><Relationship Id="rId136" Type="http://schemas.openxmlformats.org/officeDocument/2006/relationships/hyperlink" Target="mailto:diane.dupont@ml.etat.lu" TargetMode="External"/><Relationship Id="rId157" Type="http://schemas.openxmlformats.org/officeDocument/2006/relationships/hyperlink" Target="mailto:michael.boller@hartmann-werkzeugmarkt.de" TargetMode="External"/><Relationship Id="rId178" Type="http://schemas.openxmlformats.org/officeDocument/2006/relationships/hyperlink" Target="mailto:mayon23@gmx.de" TargetMode="External"/><Relationship Id="rId61" Type="http://schemas.openxmlformats.org/officeDocument/2006/relationships/hyperlink" Target="mailto:tmuellerteufel@email.de" TargetMode="External"/><Relationship Id="rId82" Type="http://schemas.openxmlformats.org/officeDocument/2006/relationships/hyperlink" Target="mailto:kuppler2@t-online.de" TargetMode="External"/><Relationship Id="rId152" Type="http://schemas.openxmlformats.org/officeDocument/2006/relationships/hyperlink" Target="mailto:moreaulaurence@free.fr" TargetMode="External"/><Relationship Id="rId173" Type="http://schemas.openxmlformats.org/officeDocument/2006/relationships/hyperlink" Target="mailto:ryser.ittigen@bluewin.ch" TargetMode="External"/><Relationship Id="rId19" Type="http://schemas.openxmlformats.org/officeDocument/2006/relationships/hyperlink" Target="mailto:hula1@intergga.ch" TargetMode="External"/><Relationship Id="rId14" Type="http://schemas.openxmlformats.org/officeDocument/2006/relationships/hyperlink" Target="mailto:mangold.lth@arcor.de" TargetMode="External"/><Relationship Id="rId30" Type="http://schemas.openxmlformats.org/officeDocument/2006/relationships/hyperlink" Target="mailto:mruethy@bluewin.ch" TargetMode="External"/><Relationship Id="rId35" Type="http://schemas.openxmlformats.org/officeDocument/2006/relationships/hyperlink" Target="mailto:christiane.schmitzberger@numericable.fr" TargetMode="External"/><Relationship Id="rId56" Type="http://schemas.openxmlformats.org/officeDocument/2006/relationships/hyperlink" Target="mailto:larmadio@wanadoo.fr" TargetMode="External"/><Relationship Id="rId77" Type="http://schemas.openxmlformats.org/officeDocument/2006/relationships/hyperlink" Target="mailto:steve@stevelesloy.freeserve.co.uk" TargetMode="External"/><Relationship Id="rId100" Type="http://schemas.openxmlformats.org/officeDocument/2006/relationships/hyperlink" Target="mailto:diane.dupont@ml.etat.lu" TargetMode="External"/><Relationship Id="rId105" Type="http://schemas.openxmlformats.org/officeDocument/2006/relationships/hyperlink" Target="mailto:brendaruck@zeelandnet.nl" TargetMode="External"/><Relationship Id="rId126" Type="http://schemas.openxmlformats.org/officeDocument/2006/relationships/hyperlink" Target="mailto:sandra.smith62@btinternet.com" TargetMode="External"/><Relationship Id="rId147" Type="http://schemas.openxmlformats.org/officeDocument/2006/relationships/hyperlink" Target="mailto:fg@pflegermais.at" TargetMode="External"/><Relationship Id="rId168" Type="http://schemas.openxmlformats.org/officeDocument/2006/relationships/hyperlink" Target="mailto:canderslemkens@aol.com" TargetMode="External"/><Relationship Id="rId8" Type="http://schemas.openxmlformats.org/officeDocument/2006/relationships/hyperlink" Target="mailto:Tibor.Gyalog@unibas.ch" TargetMode="External"/><Relationship Id="rId51" Type="http://schemas.openxmlformats.org/officeDocument/2006/relationships/hyperlink" Target="mailto:s-demaret@wanadoo.fr" TargetMode="External"/><Relationship Id="rId72" Type="http://schemas.openxmlformats.org/officeDocument/2006/relationships/hyperlink" Target="mailto:ruth@rademacher-suess.de" TargetMode="External"/><Relationship Id="rId93" Type="http://schemas.openxmlformats.org/officeDocument/2006/relationships/hyperlink" Target="mailto:dinouardnadie@hotmail.fr" TargetMode="External"/><Relationship Id="rId98" Type="http://schemas.openxmlformats.org/officeDocument/2006/relationships/hyperlink" Target="mailto:marjolein@hovingnet.nl" TargetMode="External"/><Relationship Id="rId121" Type="http://schemas.openxmlformats.org/officeDocument/2006/relationships/hyperlink" Target="mailto:manuelakill@gmx.de" TargetMode="External"/><Relationship Id="rId142" Type="http://schemas.openxmlformats.org/officeDocument/2006/relationships/hyperlink" Target="mailto:jeanette@piram.de" TargetMode="External"/><Relationship Id="rId163" Type="http://schemas.openxmlformats.org/officeDocument/2006/relationships/hyperlink" Target="mailto:alwin_steiner@gmx.de" TargetMode="External"/><Relationship Id="rId184" Type="http://schemas.openxmlformats.org/officeDocument/2006/relationships/hyperlink" Target="mailto:mail@birgithoffmann.com" TargetMode="External"/><Relationship Id="rId189" Type="http://schemas.openxmlformats.org/officeDocument/2006/relationships/hyperlink" Target="mailto:zobjackm@yahoo.de" TargetMode="External"/><Relationship Id="rId3" Type="http://schemas.openxmlformats.org/officeDocument/2006/relationships/hyperlink" Target="mailto:denis.minel@laposte.net" TargetMode="External"/><Relationship Id="rId25" Type="http://schemas.openxmlformats.org/officeDocument/2006/relationships/hyperlink" Target="mailto:peter.seuss@googlemail.com" TargetMode="External"/><Relationship Id="rId46" Type="http://schemas.openxmlformats.org/officeDocument/2006/relationships/hyperlink" Target="mailto:m.sander@elektrobartels.de" TargetMode="External"/><Relationship Id="rId67" Type="http://schemas.openxmlformats.org/officeDocument/2006/relationships/hyperlink" Target="mailto:marchal@woodfashion.com" TargetMode="External"/><Relationship Id="rId116" Type="http://schemas.openxmlformats.org/officeDocument/2006/relationships/hyperlink" Target="mailto:diane.dupont@ml.etat.lu" TargetMode="External"/><Relationship Id="rId137" Type="http://schemas.openxmlformats.org/officeDocument/2006/relationships/hyperlink" Target="mailto:i.slavicek@t-online.de" TargetMode="External"/><Relationship Id="rId158" Type="http://schemas.openxmlformats.org/officeDocument/2006/relationships/hyperlink" Target="mailto:nicole.kuss@stadt.graz.at" TargetMode="External"/><Relationship Id="rId20" Type="http://schemas.openxmlformats.org/officeDocument/2006/relationships/hyperlink" Target="mailto:cboedecker@arcor.de" TargetMode="External"/><Relationship Id="rId41" Type="http://schemas.openxmlformats.org/officeDocument/2006/relationships/hyperlink" Target="mailto:minaluni@yahoo.de" TargetMode="External"/><Relationship Id="rId62" Type="http://schemas.openxmlformats.org/officeDocument/2006/relationships/hyperlink" Target="mailto:GrangerM@bsci.com" TargetMode="External"/><Relationship Id="rId83" Type="http://schemas.openxmlformats.org/officeDocument/2006/relationships/hyperlink" Target="mailto:sandra@erhart.ch" TargetMode="External"/><Relationship Id="rId88" Type="http://schemas.openxmlformats.org/officeDocument/2006/relationships/hyperlink" Target="mailto:Kinderhaus-Hauptmann@web.de" TargetMode="External"/><Relationship Id="rId111" Type="http://schemas.openxmlformats.org/officeDocument/2006/relationships/hyperlink" Target="mailto:c.nickaes-ley@gmx.de" TargetMode="External"/><Relationship Id="rId132" Type="http://schemas.openxmlformats.org/officeDocument/2006/relationships/hyperlink" Target="mailto:carmen.bilau-lehre@gmx.de" TargetMode="External"/><Relationship Id="rId153" Type="http://schemas.openxmlformats.org/officeDocument/2006/relationships/hyperlink" Target="mailto:f.hain@gmx.de" TargetMode="External"/><Relationship Id="rId174" Type="http://schemas.openxmlformats.org/officeDocument/2006/relationships/hyperlink" Target="mailto:beateritter@t-online.de" TargetMode="External"/><Relationship Id="rId179" Type="http://schemas.openxmlformats.org/officeDocument/2006/relationships/hyperlink" Target="mailto:diane.dupont@ml.etat.lu" TargetMode="External"/><Relationship Id="rId190" Type="http://schemas.openxmlformats.org/officeDocument/2006/relationships/hyperlink" Target="mailto:shochreiter@gmx.de" TargetMode="External"/><Relationship Id="rId15" Type="http://schemas.openxmlformats.org/officeDocument/2006/relationships/hyperlink" Target="mailto:ascholte@pt.lu" TargetMode="External"/><Relationship Id="rId36" Type="http://schemas.openxmlformats.org/officeDocument/2006/relationships/hyperlink" Target="mailto:movet.jean-pierre@neuf.fr" TargetMode="External"/><Relationship Id="rId57" Type="http://schemas.openxmlformats.org/officeDocument/2006/relationships/hyperlink" Target="mailto:eifelinfo@t-online.de" TargetMode="External"/><Relationship Id="rId106" Type="http://schemas.openxmlformats.org/officeDocument/2006/relationships/hyperlink" Target="mailto:joerg.gottwald@hotmail.de" TargetMode="External"/><Relationship Id="rId127" Type="http://schemas.openxmlformats.org/officeDocument/2006/relationships/hyperlink" Target="mailto:convento@t-online.de" TargetMode="External"/><Relationship Id="rId10" Type="http://schemas.openxmlformats.org/officeDocument/2006/relationships/hyperlink" Target="mailto:pepin@ensea.fr" TargetMode="External"/><Relationship Id="rId31" Type="http://schemas.openxmlformats.org/officeDocument/2006/relationships/hyperlink" Target="mailto:rodriguenavlet@hotmail.com" TargetMode="External"/><Relationship Id="rId52" Type="http://schemas.openxmlformats.org/officeDocument/2006/relationships/hyperlink" Target="mailto:tilo@gmx.de" TargetMode="External"/><Relationship Id="rId73" Type="http://schemas.openxmlformats.org/officeDocument/2006/relationships/hyperlink" Target="mailto:nadja@schlup.net" TargetMode="External"/><Relationship Id="rId78" Type="http://schemas.openxmlformats.org/officeDocument/2006/relationships/hyperlink" Target="mailto:sylvie.vla@live.com" TargetMode="External"/><Relationship Id="rId94" Type="http://schemas.openxmlformats.org/officeDocument/2006/relationships/hyperlink" Target="mailto:nathalie.bourson@education.lu" TargetMode="External"/><Relationship Id="rId99" Type="http://schemas.openxmlformats.org/officeDocument/2006/relationships/hyperlink" Target="mailto:odilecarlier@orange.fr" TargetMode="External"/><Relationship Id="rId101" Type="http://schemas.openxmlformats.org/officeDocument/2006/relationships/hyperlink" Target="mailto:ericparage@free.fr" TargetMode="External"/><Relationship Id="rId122" Type="http://schemas.openxmlformats.org/officeDocument/2006/relationships/hyperlink" Target="mailto:wegwart@web.de" TargetMode="External"/><Relationship Id="rId143" Type="http://schemas.openxmlformats.org/officeDocument/2006/relationships/hyperlink" Target="mailto:k.nemeth24@googlemail.com" TargetMode="External"/><Relationship Id="rId148" Type="http://schemas.openxmlformats.org/officeDocument/2006/relationships/hyperlink" Target="mailto:rodriguenavlet@hotmail.com" TargetMode="External"/><Relationship Id="rId164" Type="http://schemas.openxmlformats.org/officeDocument/2006/relationships/hyperlink" Target="mailto:diane.dupont@ml.etat.lu" TargetMode="External"/><Relationship Id="rId169" Type="http://schemas.openxmlformats.org/officeDocument/2006/relationships/hyperlink" Target="mailto:sandra@broekmann.de" TargetMode="External"/><Relationship Id="rId185" Type="http://schemas.openxmlformats.org/officeDocument/2006/relationships/hyperlink" Target="mailto:tamara.d.hersperger@gmail.com" TargetMode="External"/><Relationship Id="rId4" Type="http://schemas.openxmlformats.org/officeDocument/2006/relationships/hyperlink" Target="mailto:wallnergmbh@t-online.de" TargetMode="External"/><Relationship Id="rId9" Type="http://schemas.openxmlformats.org/officeDocument/2006/relationships/hyperlink" Target="mailto:b.meyer-lueters@videx.de" TargetMode="External"/><Relationship Id="rId180" Type="http://schemas.openxmlformats.org/officeDocument/2006/relationships/hyperlink" Target="mailto:d.nelle@icloud.com" TargetMode="External"/><Relationship Id="rId26" Type="http://schemas.openxmlformats.org/officeDocument/2006/relationships/hyperlink" Target="mailto:pepin@ensea.fr" TargetMode="External"/><Relationship Id="rId47" Type="http://schemas.openxmlformats.org/officeDocument/2006/relationships/hyperlink" Target="mailto:Fabrice.FLAMME@spw.wallonie.be" TargetMode="External"/><Relationship Id="rId68" Type="http://schemas.openxmlformats.org/officeDocument/2006/relationships/hyperlink" Target="mailto:dres.sander@web.de" TargetMode="External"/><Relationship Id="rId89" Type="http://schemas.openxmlformats.org/officeDocument/2006/relationships/hyperlink" Target="mailto:martindoherr@t-online.de" TargetMode="External"/><Relationship Id="rId112" Type="http://schemas.openxmlformats.org/officeDocument/2006/relationships/hyperlink" Target="mailto:hortense.everett@gmail.com" TargetMode="External"/><Relationship Id="rId133" Type="http://schemas.openxmlformats.org/officeDocument/2006/relationships/hyperlink" Target="mailto:pn44905@GlaxoWellcome.co.uk" TargetMode="External"/><Relationship Id="rId154" Type="http://schemas.openxmlformats.org/officeDocument/2006/relationships/hyperlink" Target="mailto:asurbeck@t-online.de" TargetMode="External"/><Relationship Id="rId175" Type="http://schemas.openxmlformats.org/officeDocument/2006/relationships/hyperlink" Target="mailto:lara.kass@gmail.com" TargetMode="External"/><Relationship Id="rId16" Type="http://schemas.openxmlformats.org/officeDocument/2006/relationships/hyperlink" Target="mailto:christina.gerberding@t-online.de" TargetMode="External"/><Relationship Id="rId37" Type="http://schemas.openxmlformats.org/officeDocument/2006/relationships/hyperlink" Target="mailto:ap.bachelet@aliceadsl.fr" TargetMode="External"/><Relationship Id="rId58" Type="http://schemas.openxmlformats.org/officeDocument/2006/relationships/hyperlink" Target="mailto:hans.janse@hetnet.nl" TargetMode="External"/><Relationship Id="rId79" Type="http://schemas.openxmlformats.org/officeDocument/2006/relationships/hyperlink" Target="mailto:tf.thomasfranke@t-online.de" TargetMode="External"/><Relationship Id="rId102" Type="http://schemas.openxmlformats.org/officeDocument/2006/relationships/hyperlink" Target="mailto:herveplateau1@gmail.com" TargetMode="External"/><Relationship Id="rId123" Type="http://schemas.openxmlformats.org/officeDocument/2006/relationships/hyperlink" Target="mailto:amillet7@wanadoo.fr" TargetMode="External"/><Relationship Id="rId144" Type="http://schemas.openxmlformats.org/officeDocument/2006/relationships/hyperlink" Target="mailto:sandra@broekmann.de" TargetMode="External"/><Relationship Id="rId90" Type="http://schemas.openxmlformats.org/officeDocument/2006/relationships/hyperlink" Target="mailto:stephan.kobel@swissonline.ch" TargetMode="External"/><Relationship Id="rId165" Type="http://schemas.openxmlformats.org/officeDocument/2006/relationships/hyperlink" Target="mailto:ingrid.hanisch@freenet.de" TargetMode="External"/><Relationship Id="rId186" Type="http://schemas.openxmlformats.org/officeDocument/2006/relationships/hyperlink" Target="mailto:michelle.schneider@ptworldwide.de" TargetMode="External"/><Relationship Id="rId27" Type="http://schemas.openxmlformats.org/officeDocument/2006/relationships/hyperlink" Target="mailto:heimuehle@t-online.de" TargetMode="External"/><Relationship Id="rId48" Type="http://schemas.openxmlformats.org/officeDocument/2006/relationships/hyperlink" Target="mailto:duchenenicola@yahoo.fr" TargetMode="External"/><Relationship Id="rId69" Type="http://schemas.openxmlformats.org/officeDocument/2006/relationships/hyperlink" Target="mailto:praestk@aol.com" TargetMode="External"/><Relationship Id="rId113" Type="http://schemas.openxmlformats.org/officeDocument/2006/relationships/hyperlink" Target="mailto:info@g-schlatter.ch" TargetMode="External"/><Relationship Id="rId134" Type="http://schemas.openxmlformats.org/officeDocument/2006/relationships/hyperlink" Target="mailto:neetenbeek@imail.de" TargetMode="External"/><Relationship Id="rId80" Type="http://schemas.openxmlformats.org/officeDocument/2006/relationships/hyperlink" Target="mailto:rolland.josee@gmail.com" TargetMode="External"/><Relationship Id="rId155" Type="http://schemas.openxmlformats.org/officeDocument/2006/relationships/hyperlink" Target="mailto:star_moon4@hotmail.com" TargetMode="External"/><Relationship Id="rId176" Type="http://schemas.openxmlformats.org/officeDocument/2006/relationships/hyperlink" Target="mailto:odilecarlier@orange.fr" TargetMode="External"/><Relationship Id="rId17" Type="http://schemas.openxmlformats.org/officeDocument/2006/relationships/hyperlink" Target="mailto:janine@felix-weber.com" TargetMode="External"/><Relationship Id="rId38" Type="http://schemas.openxmlformats.org/officeDocument/2006/relationships/hyperlink" Target="mailto:ghieronimus@live.fr" TargetMode="External"/><Relationship Id="rId59" Type="http://schemas.openxmlformats.org/officeDocument/2006/relationships/hyperlink" Target="mailto:davidb39@hotmail.fr" TargetMode="External"/><Relationship Id="rId103" Type="http://schemas.openxmlformats.org/officeDocument/2006/relationships/hyperlink" Target="mailto:elke@betten-hausen.de" TargetMode="External"/><Relationship Id="rId124" Type="http://schemas.openxmlformats.org/officeDocument/2006/relationships/hyperlink" Target="mailto:Pfostenberg@aol.com" TargetMode="External"/><Relationship Id="rId70" Type="http://schemas.openxmlformats.org/officeDocument/2006/relationships/hyperlink" Target="mailto:erwanhubert@free.fr" TargetMode="External"/><Relationship Id="rId91" Type="http://schemas.openxmlformats.org/officeDocument/2006/relationships/hyperlink" Target="mailto:paloma13@gmx.de" TargetMode="External"/><Relationship Id="rId145" Type="http://schemas.openxmlformats.org/officeDocument/2006/relationships/hyperlink" Target="mailto:kmercedes300@aol.com" TargetMode="External"/><Relationship Id="rId166" Type="http://schemas.openxmlformats.org/officeDocument/2006/relationships/hyperlink" Target="mailto:markuspalm@hotmail.de" TargetMode="External"/><Relationship Id="rId187" Type="http://schemas.openxmlformats.org/officeDocument/2006/relationships/hyperlink" Target="mailto:luna8311@googlemail.com" TargetMode="External"/><Relationship Id="rId1" Type="http://schemas.openxmlformats.org/officeDocument/2006/relationships/hyperlink" Target="mailto:reinhardt@osw-eschbach.de" TargetMode="External"/><Relationship Id="rId28" Type="http://schemas.openxmlformats.org/officeDocument/2006/relationships/hyperlink" Target="mailto:bettina.ri@t-online.de" TargetMode="External"/><Relationship Id="rId49" Type="http://schemas.openxmlformats.org/officeDocument/2006/relationships/hyperlink" Target="mailto:dede7@pt.lu" TargetMode="External"/><Relationship Id="rId114" Type="http://schemas.openxmlformats.org/officeDocument/2006/relationships/hyperlink" Target="mailto:birgittdoll@aol.com" TargetMode="External"/><Relationship Id="rId60" Type="http://schemas.openxmlformats.org/officeDocument/2006/relationships/hyperlink" Target="mailto:ingrid.hanisch@freenet.de" TargetMode="External"/><Relationship Id="rId81" Type="http://schemas.openxmlformats.org/officeDocument/2006/relationships/hyperlink" Target="mailto:silvio_kell@yahoo.de" TargetMode="External"/><Relationship Id="rId135" Type="http://schemas.openxmlformats.org/officeDocument/2006/relationships/hyperlink" Target="mailto:family@schlup.net" TargetMode="External"/><Relationship Id="rId156" Type="http://schemas.openxmlformats.org/officeDocument/2006/relationships/hyperlink" Target="mailto:rckuhn@web.de" TargetMode="External"/><Relationship Id="rId177" Type="http://schemas.openxmlformats.org/officeDocument/2006/relationships/hyperlink" Target="mailto:to.m@me.com" TargetMode="External"/></Relationships>
</file>

<file path=xl/worksheets/_rels/sheet14.xml.rels><?xml version="1.0" encoding="UTF-8" standalone="yes"?>
<Relationships xmlns="http://schemas.openxmlformats.org/package/2006/relationships"><Relationship Id="rId13" Type="http://schemas.openxmlformats.org/officeDocument/2006/relationships/hyperlink" Target="mailto:j.kolling@online.de" TargetMode="External"/><Relationship Id="rId18" Type="http://schemas.openxmlformats.org/officeDocument/2006/relationships/hyperlink" Target="mailto:ute_gerl@gmx.de" TargetMode="External"/><Relationship Id="rId26" Type="http://schemas.openxmlformats.org/officeDocument/2006/relationships/hyperlink" Target="mailto:ronmeier@zeelandnet.nl" TargetMode="External"/><Relationship Id="rId39" Type="http://schemas.openxmlformats.org/officeDocument/2006/relationships/hyperlink" Target="mailto:katja.ince@gmx.de" TargetMode="External"/><Relationship Id="rId21" Type="http://schemas.openxmlformats.org/officeDocument/2006/relationships/hyperlink" Target="mailto:jutta.greiner@gmx.net" TargetMode="External"/><Relationship Id="rId34" Type="http://schemas.openxmlformats.org/officeDocument/2006/relationships/hyperlink" Target="mailto:adrian.langer90@gmail.com" TargetMode="External"/><Relationship Id="rId42" Type="http://schemas.openxmlformats.org/officeDocument/2006/relationships/hyperlink" Target="mailto:th.goth@goth-online.de" TargetMode="External"/><Relationship Id="rId47" Type="http://schemas.openxmlformats.org/officeDocument/2006/relationships/hyperlink" Target="mailto:lucyblanc@gmail.com" TargetMode="External"/><Relationship Id="rId50" Type="http://schemas.openxmlformats.org/officeDocument/2006/relationships/hyperlink" Target="mailto:a.spachmann@hotmail.de" TargetMode="External"/><Relationship Id="rId7" Type="http://schemas.openxmlformats.org/officeDocument/2006/relationships/hyperlink" Target="mailto:ronmeier@zeelandnet.nl" TargetMode="External"/><Relationship Id="rId2" Type="http://schemas.openxmlformats.org/officeDocument/2006/relationships/hyperlink" Target="mailto:armand@gesundes-laufen.com" TargetMode="External"/><Relationship Id="rId16" Type="http://schemas.openxmlformats.org/officeDocument/2006/relationships/hyperlink" Target="mailto:benekamps@gmail.com" TargetMode="External"/><Relationship Id="rId29" Type="http://schemas.openxmlformats.org/officeDocument/2006/relationships/hyperlink" Target="mailto:claire.moquet@gmail.com" TargetMode="External"/><Relationship Id="rId11" Type="http://schemas.openxmlformats.org/officeDocument/2006/relationships/hyperlink" Target="mailto:christiane.kolschmann@gmx.de" TargetMode="External"/><Relationship Id="rId24" Type="http://schemas.openxmlformats.org/officeDocument/2006/relationships/hyperlink" Target="mailto:katrin.schuhmacher@icloud.com" TargetMode="External"/><Relationship Id="rId32" Type="http://schemas.openxmlformats.org/officeDocument/2006/relationships/hyperlink" Target="mailto:anke.wetter@web.de" TargetMode="External"/><Relationship Id="rId37" Type="http://schemas.openxmlformats.org/officeDocument/2006/relationships/hyperlink" Target="mailto:France_ewen@hotmail.com" TargetMode="External"/><Relationship Id="rId40" Type="http://schemas.openxmlformats.org/officeDocument/2006/relationships/hyperlink" Target="mailto:ben_ney@hotmail.com" TargetMode="External"/><Relationship Id="rId45" Type="http://schemas.openxmlformats.org/officeDocument/2006/relationships/hyperlink" Target="mailto:nicole.walter@tierarzt-kirkel.de" TargetMode="External"/><Relationship Id="rId53" Type="http://schemas.openxmlformats.org/officeDocument/2006/relationships/hyperlink" Target="mailto:c.tourscher54@gmail.com" TargetMode="External"/><Relationship Id="rId5" Type="http://schemas.openxmlformats.org/officeDocument/2006/relationships/hyperlink" Target="mailto:blackstream@gmx.net" TargetMode="External"/><Relationship Id="rId10" Type="http://schemas.openxmlformats.org/officeDocument/2006/relationships/hyperlink" Target="mailto:kanzlei@anwaltskanzlei-tl.de" TargetMode="External"/><Relationship Id="rId19" Type="http://schemas.openxmlformats.org/officeDocument/2006/relationships/hyperlink" Target="mailto:f.miertsch@web.de" TargetMode="External"/><Relationship Id="rId31" Type="http://schemas.openxmlformats.org/officeDocument/2006/relationships/hyperlink" Target="mailto:utejacobs@gmx.net" TargetMode="External"/><Relationship Id="rId44" Type="http://schemas.openxmlformats.org/officeDocument/2006/relationships/hyperlink" Target="mailto:jfg33127@gmail.com" TargetMode="External"/><Relationship Id="rId52" Type="http://schemas.openxmlformats.org/officeDocument/2006/relationships/hyperlink" Target="mailto:claudia.wiesinger88@googlemail.com" TargetMode="External"/><Relationship Id="rId4" Type="http://schemas.openxmlformats.org/officeDocument/2006/relationships/hyperlink" Target="mailto:ellen.hetterich@yahoo.com" TargetMode="External"/><Relationship Id="rId9" Type="http://schemas.openxmlformats.org/officeDocument/2006/relationships/hyperlink" Target="mailto:goldbeck@nanometric.de" TargetMode="External"/><Relationship Id="rId14" Type="http://schemas.openxmlformats.org/officeDocument/2006/relationships/hyperlink" Target="mailto:norbert.beckers05@gmail.com" TargetMode="External"/><Relationship Id="rId22" Type="http://schemas.openxmlformats.org/officeDocument/2006/relationships/hyperlink" Target="mailto:mutz.sandra@googlemail.com" TargetMode="External"/><Relationship Id="rId27" Type="http://schemas.openxmlformats.org/officeDocument/2006/relationships/hyperlink" Target="mailto:ajau@gmx.ch" TargetMode="External"/><Relationship Id="rId30" Type="http://schemas.openxmlformats.org/officeDocument/2006/relationships/hyperlink" Target="mailto:silke_lichtner@web.de" TargetMode="External"/><Relationship Id="rId35" Type="http://schemas.openxmlformats.org/officeDocument/2006/relationships/hyperlink" Target="mailto:julia.mauritz@vogel.de" TargetMode="External"/><Relationship Id="rId43" Type="http://schemas.openxmlformats.org/officeDocument/2006/relationships/hyperlink" Target="mailto:el-baba@beauty-group-agentur.de" TargetMode="External"/><Relationship Id="rId48" Type="http://schemas.openxmlformats.org/officeDocument/2006/relationships/hyperlink" Target="mailto:nicole.valente@bluewin.ch" TargetMode="External"/><Relationship Id="rId8" Type="http://schemas.openxmlformats.org/officeDocument/2006/relationships/hyperlink" Target="mailto:e.mwuest@bluewin.ch" TargetMode="External"/><Relationship Id="rId51" Type="http://schemas.openxmlformats.org/officeDocument/2006/relationships/hyperlink" Target="mailto:sheidenreich@gmx.net" TargetMode="External"/><Relationship Id="rId3" Type="http://schemas.openxmlformats.org/officeDocument/2006/relationships/hyperlink" Target="mailto:alexandra.rockelsberg@gmx.de" TargetMode="External"/><Relationship Id="rId12" Type="http://schemas.openxmlformats.org/officeDocument/2006/relationships/hyperlink" Target="mailto:s.epner@gmx.de" TargetMode="External"/><Relationship Id="rId17" Type="http://schemas.openxmlformats.org/officeDocument/2006/relationships/hyperlink" Target="mailto:alexandra.rockelsberg@gmx.de" TargetMode="External"/><Relationship Id="rId25" Type="http://schemas.openxmlformats.org/officeDocument/2006/relationships/hyperlink" Target="mailto:mathias.rackisch@googlemail.com" TargetMode="External"/><Relationship Id="rId33" Type="http://schemas.openxmlformats.org/officeDocument/2006/relationships/hyperlink" Target="mailto:morocutti@t-online.de" TargetMode="External"/><Relationship Id="rId38" Type="http://schemas.openxmlformats.org/officeDocument/2006/relationships/hyperlink" Target="mailto:Roestzeit@t-online.de" TargetMode="External"/><Relationship Id="rId46" Type="http://schemas.openxmlformats.org/officeDocument/2006/relationships/hyperlink" Target="mailto:martine.geib@education.lu" TargetMode="External"/><Relationship Id="rId20" Type="http://schemas.openxmlformats.org/officeDocument/2006/relationships/hyperlink" Target="mailto:sandra@broekmann.de" TargetMode="External"/><Relationship Id="rId41" Type="http://schemas.openxmlformats.org/officeDocument/2006/relationships/hyperlink" Target="mailto:schaefer_sabrina@gmx.de" TargetMode="External"/><Relationship Id="rId1" Type="http://schemas.openxmlformats.org/officeDocument/2006/relationships/hyperlink" Target="mailto:bsg01@aol.com" TargetMode="External"/><Relationship Id="rId6" Type="http://schemas.openxmlformats.org/officeDocument/2006/relationships/hyperlink" Target="mailto:ajau@gmx.ch" TargetMode="External"/><Relationship Id="rId15" Type="http://schemas.openxmlformats.org/officeDocument/2006/relationships/hyperlink" Target="mailto:stefan.brindt@gmx.net" TargetMode="External"/><Relationship Id="rId23" Type="http://schemas.openxmlformats.org/officeDocument/2006/relationships/hyperlink" Target="mailto:wneuh641@gmail.com" TargetMode="External"/><Relationship Id="rId28" Type="http://schemas.openxmlformats.org/officeDocument/2006/relationships/hyperlink" Target="mailto:s.epner@gmx.de" TargetMode="External"/><Relationship Id="rId36" Type="http://schemas.openxmlformats.org/officeDocument/2006/relationships/hyperlink" Target="mailto:info@neuberger-praezision.de" TargetMode="External"/><Relationship Id="rId49" Type="http://schemas.openxmlformats.org/officeDocument/2006/relationships/hyperlink" Target="mailto:agnes.vandevonder@hotmail.com" TargetMode="Externa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hyperlink" Target="mailto:giesing-wegner@web.de" TargetMode="External"/><Relationship Id="rId13" Type="http://schemas.openxmlformats.org/officeDocument/2006/relationships/hyperlink" Target="mailto:jeanna@mail.ch" TargetMode="External"/><Relationship Id="rId18" Type="http://schemas.openxmlformats.org/officeDocument/2006/relationships/hyperlink" Target="mailto:alexacgn@gmail.com" TargetMode="External"/><Relationship Id="rId26" Type="http://schemas.openxmlformats.org/officeDocument/2006/relationships/hyperlink" Target="mailto:gesa.spike@gmx.de" TargetMode="External"/><Relationship Id="rId3" Type="http://schemas.openxmlformats.org/officeDocument/2006/relationships/hyperlink" Target="mailto:wolfgang.reichelt@dekra.com" TargetMode="External"/><Relationship Id="rId21" Type="http://schemas.openxmlformats.org/officeDocument/2006/relationships/hyperlink" Target="mailto:sanerlucia@gmail.com" TargetMode="External"/><Relationship Id="rId7" Type="http://schemas.openxmlformats.org/officeDocument/2006/relationships/hyperlink" Target="mailto:kristellpouliquen@hotmail.fr" TargetMode="External"/><Relationship Id="rId12" Type="http://schemas.openxmlformats.org/officeDocument/2006/relationships/hyperlink" Target="mailto:beatebelz@gmx.de" TargetMode="External"/><Relationship Id="rId17" Type="http://schemas.openxmlformats.org/officeDocument/2006/relationships/hyperlink" Target="mailto:fc@licker.de" TargetMode="External"/><Relationship Id="rId25" Type="http://schemas.openxmlformats.org/officeDocument/2006/relationships/hyperlink" Target="mailto:zazoo382003@yahoo.de" TargetMode="External"/><Relationship Id="rId2" Type="http://schemas.openxmlformats.org/officeDocument/2006/relationships/hyperlink" Target="mailto:to.m@me.com" TargetMode="External"/><Relationship Id="rId16" Type="http://schemas.openxmlformats.org/officeDocument/2006/relationships/hyperlink" Target="mailto:martin.haefner@nexgo.de" TargetMode="External"/><Relationship Id="rId20" Type="http://schemas.openxmlformats.org/officeDocument/2006/relationships/hyperlink" Target="mailto:shochreiter@gmx.de" TargetMode="External"/><Relationship Id="rId29" Type="http://schemas.openxmlformats.org/officeDocument/2006/relationships/hyperlink" Target="mailto:steinmetzdirk@yahoo.de" TargetMode="External"/><Relationship Id="rId1" Type="http://schemas.openxmlformats.org/officeDocument/2006/relationships/hyperlink" Target="mailto:danysilver812@gmail.com" TargetMode="External"/><Relationship Id="rId6" Type="http://schemas.openxmlformats.org/officeDocument/2006/relationships/hyperlink" Target="mailto:angelika.mehl@t-online.de" TargetMode="External"/><Relationship Id="rId11" Type="http://schemas.openxmlformats.org/officeDocument/2006/relationships/hyperlink" Target="mailto:info@ipe-ingenieure.de" TargetMode="External"/><Relationship Id="rId24" Type="http://schemas.openxmlformats.org/officeDocument/2006/relationships/hyperlink" Target="mailto:tamara.d.hersperger@gmail.com" TargetMode="External"/><Relationship Id="rId5" Type="http://schemas.openxmlformats.org/officeDocument/2006/relationships/hyperlink" Target="mailto:eva@allartz.de" TargetMode="External"/><Relationship Id="rId15" Type="http://schemas.openxmlformats.org/officeDocument/2006/relationships/hyperlink" Target="mailto:migy@hotmail.de" TargetMode="External"/><Relationship Id="rId23" Type="http://schemas.openxmlformats.org/officeDocument/2006/relationships/hyperlink" Target="mailto:gesa.spike@gmx.de" TargetMode="External"/><Relationship Id="rId28" Type="http://schemas.openxmlformats.org/officeDocument/2006/relationships/hyperlink" Target="mailto:jens.kromschroeder@web.de" TargetMode="External"/><Relationship Id="rId10" Type="http://schemas.openxmlformats.org/officeDocument/2006/relationships/hyperlink" Target="mailto:thalinchen75@gmx.de" TargetMode="External"/><Relationship Id="rId19" Type="http://schemas.openxmlformats.org/officeDocument/2006/relationships/hyperlink" Target="mailto:helmut.joe.bergmann@t-online.de" TargetMode="External"/><Relationship Id="rId31" Type="http://schemas.openxmlformats.org/officeDocument/2006/relationships/printerSettings" Target="../printerSettings/printerSettings8.bin"/><Relationship Id="rId4" Type="http://schemas.openxmlformats.org/officeDocument/2006/relationships/hyperlink" Target="mailto:jhammerschmied@outlook.com" TargetMode="External"/><Relationship Id="rId9" Type="http://schemas.openxmlformats.org/officeDocument/2006/relationships/hyperlink" Target="mailto:to.m@me.com" TargetMode="External"/><Relationship Id="rId14" Type="http://schemas.openxmlformats.org/officeDocument/2006/relationships/hyperlink" Target="mailto:anjaspecht75@googlemail.com" TargetMode="External"/><Relationship Id="rId22" Type="http://schemas.openxmlformats.org/officeDocument/2006/relationships/hyperlink" Target="mailto:zazoo382003@yahoo.de" TargetMode="External"/><Relationship Id="rId27" Type="http://schemas.openxmlformats.org/officeDocument/2006/relationships/hyperlink" Target="mailto:pedro-l@bluemail.ch" TargetMode="External"/><Relationship Id="rId30" Type="http://schemas.openxmlformats.org/officeDocument/2006/relationships/hyperlink" Target="mailto:jens.kromschroeder@web.de" TargetMode="External"/></Relationships>
</file>

<file path=xl/worksheets/_rels/sheet16.xml.rels><?xml version="1.0" encoding="UTF-8" standalone="yes"?>
<Relationships xmlns="http://schemas.openxmlformats.org/package/2006/relationships"><Relationship Id="rId117" Type="http://schemas.openxmlformats.org/officeDocument/2006/relationships/hyperlink" Target="mailto:moreaulaurence@free.fr" TargetMode="External"/><Relationship Id="rId21" Type="http://schemas.openxmlformats.org/officeDocument/2006/relationships/hyperlink" Target="mailto:jutta.holnburger@gmx.de" TargetMode="External"/><Relationship Id="rId63" Type="http://schemas.openxmlformats.org/officeDocument/2006/relationships/hyperlink" Target="mailto:dres.sander@web.de" TargetMode="External"/><Relationship Id="rId159" Type="http://schemas.openxmlformats.org/officeDocument/2006/relationships/hyperlink" Target="mailto:to.m@me.com" TargetMode="External"/><Relationship Id="rId170" Type="http://schemas.openxmlformats.org/officeDocument/2006/relationships/hyperlink" Target="mailto:info@hof-luckmann.de" TargetMode="External"/><Relationship Id="rId226" Type="http://schemas.openxmlformats.org/officeDocument/2006/relationships/hyperlink" Target="mailto:s.g.blenk@gmail.com" TargetMode="External"/><Relationship Id="rId268" Type="http://schemas.openxmlformats.org/officeDocument/2006/relationships/hyperlink" Target="mailto:pepin@ensea.fr" TargetMode="External"/><Relationship Id="rId32" Type="http://schemas.openxmlformats.org/officeDocument/2006/relationships/hyperlink" Target="mailto:biggil@hotmail.de" TargetMode="External"/><Relationship Id="rId74" Type="http://schemas.openxmlformats.org/officeDocument/2006/relationships/hyperlink" Target="mailto:kuppler2@t-online.de" TargetMode="External"/><Relationship Id="rId128" Type="http://schemas.openxmlformats.org/officeDocument/2006/relationships/hyperlink" Target="mailto:diane.dupont@ml.etat.lu" TargetMode="External"/><Relationship Id="rId5" Type="http://schemas.openxmlformats.org/officeDocument/2006/relationships/hyperlink" Target="mailto:BeateSchweitzer@hotmail.com" TargetMode="External"/><Relationship Id="rId181" Type="http://schemas.openxmlformats.org/officeDocument/2006/relationships/hyperlink" Target="mailto:skjelsvik@sunrise.ch" TargetMode="External"/><Relationship Id="rId237" Type="http://schemas.openxmlformats.org/officeDocument/2006/relationships/hyperlink" Target="mailto:jbrinkmann64@web.de" TargetMode="External"/><Relationship Id="rId279" Type="http://schemas.openxmlformats.org/officeDocument/2006/relationships/hyperlink" Target="mailto:ko_0815@yahoo.de" TargetMode="External"/><Relationship Id="rId43" Type="http://schemas.openxmlformats.org/officeDocument/2006/relationships/hyperlink" Target="mailto:Fabrice.FLAMME@spw.wallonie.be" TargetMode="External"/><Relationship Id="rId139" Type="http://schemas.openxmlformats.org/officeDocument/2006/relationships/hyperlink" Target="mailto:lara.kass@gmail.com" TargetMode="External"/><Relationship Id="rId85" Type="http://schemas.openxmlformats.org/officeDocument/2006/relationships/hyperlink" Target="mailto:nathalie.bourson@education.lu" TargetMode="External"/><Relationship Id="rId150" Type="http://schemas.openxmlformats.org/officeDocument/2006/relationships/hyperlink" Target="mailto:luna8311@googlemail.com" TargetMode="External"/><Relationship Id="rId171" Type="http://schemas.openxmlformats.org/officeDocument/2006/relationships/hyperlink" Target="mailto:jules.serrig@gmail.com" TargetMode="External"/><Relationship Id="rId192" Type="http://schemas.openxmlformats.org/officeDocument/2006/relationships/hyperlink" Target="mailto:k.nemeth24@googlemail.com" TargetMode="External"/><Relationship Id="rId206" Type="http://schemas.openxmlformats.org/officeDocument/2006/relationships/hyperlink" Target="mailto:to.m@me.com" TargetMode="External"/><Relationship Id="rId227" Type="http://schemas.openxmlformats.org/officeDocument/2006/relationships/hyperlink" Target="mailto:catarina@marpmannonline.de" TargetMode="External"/><Relationship Id="rId248" Type="http://schemas.openxmlformats.org/officeDocument/2006/relationships/hyperlink" Target="mailto:ulf.anja@freenet.de" TargetMode="External"/><Relationship Id="rId269" Type="http://schemas.openxmlformats.org/officeDocument/2006/relationships/hyperlink" Target="mailto:sophie2663@hotmail.fr" TargetMode="External"/><Relationship Id="rId12" Type="http://schemas.openxmlformats.org/officeDocument/2006/relationships/hyperlink" Target="mailto:wunderhorn@t-online.de" TargetMode="External"/><Relationship Id="rId33" Type="http://schemas.openxmlformats.org/officeDocument/2006/relationships/hyperlink" Target="mailto:christiane.schmitzberger@numericable.fr" TargetMode="External"/><Relationship Id="rId108" Type="http://schemas.openxmlformats.org/officeDocument/2006/relationships/hyperlink" Target="mailto:k.nemeth24@googlemail.com" TargetMode="External"/><Relationship Id="rId129" Type="http://schemas.openxmlformats.org/officeDocument/2006/relationships/hyperlink" Target="mailto:ingrid.hanisch@freenet.de" TargetMode="External"/><Relationship Id="rId280" Type="http://schemas.openxmlformats.org/officeDocument/2006/relationships/hyperlink" Target="mailto:e-kar@hotmail.de" TargetMode="External"/><Relationship Id="rId54" Type="http://schemas.openxmlformats.org/officeDocument/2006/relationships/hyperlink" Target="mailto:hans.janse@hetnet.nl" TargetMode="External"/><Relationship Id="rId75" Type="http://schemas.openxmlformats.org/officeDocument/2006/relationships/hyperlink" Target="mailto:sandra@erhart.ch" TargetMode="External"/><Relationship Id="rId96" Type="http://schemas.openxmlformats.org/officeDocument/2006/relationships/hyperlink" Target="mailto:tran.giang@me.com" TargetMode="External"/><Relationship Id="rId140" Type="http://schemas.openxmlformats.org/officeDocument/2006/relationships/hyperlink" Target="mailto:odilecarlier@orange.fr" TargetMode="External"/><Relationship Id="rId161" Type="http://schemas.openxmlformats.org/officeDocument/2006/relationships/hyperlink" Target="mailto:zazoo382003@yahoo.de" TargetMode="External"/><Relationship Id="rId182" Type="http://schemas.openxmlformats.org/officeDocument/2006/relationships/hyperlink" Target="mailto:u.wirth@alowag.ch" TargetMode="External"/><Relationship Id="rId217" Type="http://schemas.openxmlformats.org/officeDocument/2006/relationships/hyperlink" Target="mailto:tanjaS1990@gmx.net" TargetMode="External"/><Relationship Id="rId6" Type="http://schemas.openxmlformats.org/officeDocument/2006/relationships/hyperlink" Target="mailto:coccinelle60@gmail.com" TargetMode="External"/><Relationship Id="rId238" Type="http://schemas.openxmlformats.org/officeDocument/2006/relationships/hyperlink" Target="mailto:w.heimb&#252;chel@t-online.de" TargetMode="External"/><Relationship Id="rId259" Type="http://schemas.openxmlformats.org/officeDocument/2006/relationships/hyperlink" Target="mailto:v.krieg@gmx.net" TargetMode="External"/><Relationship Id="rId23" Type="http://schemas.openxmlformats.org/officeDocument/2006/relationships/hyperlink" Target="mailto:peter.seuss@googlemail.com" TargetMode="External"/><Relationship Id="rId119" Type="http://schemas.openxmlformats.org/officeDocument/2006/relationships/hyperlink" Target="mailto:asurbeck@t-online.de" TargetMode="External"/><Relationship Id="rId270" Type="http://schemas.openxmlformats.org/officeDocument/2006/relationships/hyperlink" Target="mailto:sabine.haubenthal@gmx.de" TargetMode="External"/><Relationship Id="rId44" Type="http://schemas.openxmlformats.org/officeDocument/2006/relationships/hyperlink" Target="mailto:duchenenicola@yahoo.fr" TargetMode="External"/><Relationship Id="rId65" Type="http://schemas.openxmlformats.org/officeDocument/2006/relationships/hyperlink" Target="mailto:niegengerd@hotmail.com" TargetMode="External"/><Relationship Id="rId86" Type="http://schemas.openxmlformats.org/officeDocument/2006/relationships/hyperlink" Target="mailto:peggy.wolsfeld@education.lu" TargetMode="External"/><Relationship Id="rId130" Type="http://schemas.openxmlformats.org/officeDocument/2006/relationships/hyperlink" Target="mailto:markuspalm@hotmail.de" TargetMode="External"/><Relationship Id="rId151" Type="http://schemas.openxmlformats.org/officeDocument/2006/relationships/hyperlink" Target="mailto:cdoering@mailbox.org" TargetMode="External"/><Relationship Id="rId172" Type="http://schemas.openxmlformats.org/officeDocument/2006/relationships/hyperlink" Target="mailto:ja@bildhaus.ch" TargetMode="External"/><Relationship Id="rId193" Type="http://schemas.openxmlformats.org/officeDocument/2006/relationships/hyperlink" Target="mailto:sandra@broekmann.de" TargetMode="External"/><Relationship Id="rId207" Type="http://schemas.openxmlformats.org/officeDocument/2006/relationships/hyperlink" Target="mailto:michaelamandt@yahoo.de" TargetMode="External"/><Relationship Id="rId228" Type="http://schemas.openxmlformats.org/officeDocument/2006/relationships/hyperlink" Target="mailto:info@ipe-ingenieure.de" TargetMode="External"/><Relationship Id="rId249" Type="http://schemas.openxmlformats.org/officeDocument/2006/relationships/hyperlink" Target="mailto:marc.feyenklassen@gmail.com" TargetMode="External"/><Relationship Id="rId13" Type="http://schemas.openxmlformats.org/officeDocument/2006/relationships/hyperlink" Target="mailto:mangold.lth@arcor.de" TargetMode="External"/><Relationship Id="rId109" Type="http://schemas.openxmlformats.org/officeDocument/2006/relationships/hyperlink" Target="mailto:sandra@broekmann.de" TargetMode="External"/><Relationship Id="rId260" Type="http://schemas.openxmlformats.org/officeDocument/2006/relationships/hyperlink" Target="mailto:gerfried.knaeble@t-online.de" TargetMode="External"/><Relationship Id="rId281" Type="http://schemas.openxmlformats.org/officeDocument/2006/relationships/hyperlink" Target="mailto:susanne.schneider@securat.de" TargetMode="External"/><Relationship Id="rId34" Type="http://schemas.openxmlformats.org/officeDocument/2006/relationships/hyperlink" Target="mailto:movet.jean-pierre@neuf.fr" TargetMode="External"/><Relationship Id="rId55" Type="http://schemas.openxmlformats.org/officeDocument/2006/relationships/hyperlink" Target="mailto:davidb39@hotmail.fr" TargetMode="External"/><Relationship Id="rId76" Type="http://schemas.openxmlformats.org/officeDocument/2006/relationships/hyperlink" Target="mailto:axelschreiter@yahoo.de" TargetMode="External"/><Relationship Id="rId97" Type="http://schemas.openxmlformats.org/officeDocument/2006/relationships/hyperlink" Target="mailto:nathalie.bourson@education.lu" TargetMode="External"/><Relationship Id="rId120" Type="http://schemas.openxmlformats.org/officeDocument/2006/relationships/hyperlink" Target="mailto:star_moon4@hotmail.com" TargetMode="External"/><Relationship Id="rId141" Type="http://schemas.openxmlformats.org/officeDocument/2006/relationships/hyperlink" Target="mailto:to.m@me.com" TargetMode="External"/><Relationship Id="rId7" Type="http://schemas.openxmlformats.org/officeDocument/2006/relationships/hyperlink" Target="mailto:nadja.scaglione@bluewin.ch" TargetMode="External"/><Relationship Id="rId162" Type="http://schemas.openxmlformats.org/officeDocument/2006/relationships/hyperlink" Target="mailto:pedro-l@bluemail.ch" TargetMode="External"/><Relationship Id="rId183" Type="http://schemas.openxmlformats.org/officeDocument/2006/relationships/hyperlink" Target="mailto:ursstirnemann@bluewin.ch" TargetMode="External"/><Relationship Id="rId218" Type="http://schemas.openxmlformats.org/officeDocument/2006/relationships/hyperlink" Target="mailto:to.m@me.com" TargetMode="External"/><Relationship Id="rId239" Type="http://schemas.openxmlformats.org/officeDocument/2006/relationships/hyperlink" Target="mailto:migy@hotmail.de" TargetMode="External"/><Relationship Id="rId250" Type="http://schemas.openxmlformats.org/officeDocument/2006/relationships/hyperlink" Target="mailto:ublatz@blatz-kunststoffwerk.de" TargetMode="External"/><Relationship Id="rId271" Type="http://schemas.openxmlformats.org/officeDocument/2006/relationships/hyperlink" Target="mailto:arsreplica@freenet.de" TargetMode="External"/><Relationship Id="rId24" Type="http://schemas.openxmlformats.org/officeDocument/2006/relationships/hyperlink" Target="mailto:pepin@ensea.fr" TargetMode="External"/><Relationship Id="rId45" Type="http://schemas.openxmlformats.org/officeDocument/2006/relationships/hyperlink" Target="mailto:dede7@pt.lu" TargetMode="External"/><Relationship Id="rId66" Type="http://schemas.openxmlformats.org/officeDocument/2006/relationships/hyperlink" Target="mailto:nadja@schlup.net" TargetMode="External"/><Relationship Id="rId87" Type="http://schemas.openxmlformats.org/officeDocument/2006/relationships/hyperlink" Target="mailto:cbtkw@email.de" TargetMode="External"/><Relationship Id="rId110" Type="http://schemas.openxmlformats.org/officeDocument/2006/relationships/hyperlink" Target="mailto:kmercedes300@aol.com" TargetMode="External"/><Relationship Id="rId131" Type="http://schemas.openxmlformats.org/officeDocument/2006/relationships/hyperlink" Target="mailto:nadia.koesters@gmx.de" TargetMode="External"/><Relationship Id="rId152" Type="http://schemas.openxmlformats.org/officeDocument/2006/relationships/hyperlink" Target="mailto:zobjackm@yahoo.de" TargetMode="External"/><Relationship Id="rId173" Type="http://schemas.openxmlformats.org/officeDocument/2006/relationships/hyperlink" Target="mailto:alexacgn@gmail.com" TargetMode="External"/><Relationship Id="rId194" Type="http://schemas.openxmlformats.org/officeDocument/2006/relationships/hyperlink" Target="mailto:kmercedes300@aol.com" TargetMode="External"/><Relationship Id="rId208" Type="http://schemas.openxmlformats.org/officeDocument/2006/relationships/hyperlink" Target="mailto:marielayes@orange.fr" TargetMode="External"/><Relationship Id="rId229" Type="http://schemas.openxmlformats.org/officeDocument/2006/relationships/hyperlink" Target="mailto:auftrittebert@aol.com" TargetMode="External"/><Relationship Id="rId240" Type="http://schemas.openxmlformats.org/officeDocument/2006/relationships/hyperlink" Target="mailto:martin.haefner@nexgo.de" TargetMode="External"/><Relationship Id="rId261" Type="http://schemas.openxmlformats.org/officeDocument/2006/relationships/hyperlink" Target="mailto:c.laudi@ib-laudi.de?subject=Ihre%20Anfrage%20auf%20hunde-urlaub.net" TargetMode="External"/><Relationship Id="rId14" Type="http://schemas.openxmlformats.org/officeDocument/2006/relationships/hyperlink" Target="mailto:ascholte@pt.lu" TargetMode="External"/><Relationship Id="rId35" Type="http://schemas.openxmlformats.org/officeDocument/2006/relationships/hyperlink" Target="mailto:ghieronimus@live.fr" TargetMode="External"/><Relationship Id="rId56" Type="http://schemas.openxmlformats.org/officeDocument/2006/relationships/hyperlink" Target="mailto:ingrid.hanisch@freenet.de" TargetMode="External"/><Relationship Id="rId77" Type="http://schemas.openxmlformats.org/officeDocument/2006/relationships/hyperlink" Target="mailto:christele.mace@numericable.fr" TargetMode="External"/><Relationship Id="rId100" Type="http://schemas.openxmlformats.org/officeDocument/2006/relationships/hyperlink" Target="mailto:hortense.everett@gmail.com" TargetMode="External"/><Relationship Id="rId282" Type="http://schemas.openxmlformats.org/officeDocument/2006/relationships/hyperlink" Target="mailto:sanzell75@gmx.de" TargetMode="External"/><Relationship Id="rId8" Type="http://schemas.openxmlformats.org/officeDocument/2006/relationships/hyperlink" Target="mailto:b.meyer-lueters@videx.de" TargetMode="External"/><Relationship Id="rId98" Type="http://schemas.openxmlformats.org/officeDocument/2006/relationships/hyperlink" Target="mailto:x-oph@gmx.net" TargetMode="External"/><Relationship Id="rId121" Type="http://schemas.openxmlformats.org/officeDocument/2006/relationships/hyperlink" Target="mailto:rckuhn@web.de" TargetMode="External"/><Relationship Id="rId142" Type="http://schemas.openxmlformats.org/officeDocument/2006/relationships/hyperlink" Target="mailto:mayon23@gmx.de" TargetMode="External"/><Relationship Id="rId163" Type="http://schemas.openxmlformats.org/officeDocument/2006/relationships/hyperlink" Target="mailto:nadja@auraseta.ch" TargetMode="External"/><Relationship Id="rId184" Type="http://schemas.openxmlformats.org/officeDocument/2006/relationships/hyperlink" Target="mailto:jhammerschmied@outlook.com" TargetMode="External"/><Relationship Id="rId219" Type="http://schemas.openxmlformats.org/officeDocument/2006/relationships/hyperlink" Target="mailto:unglaub@arcor.de" TargetMode="External"/><Relationship Id="rId230" Type="http://schemas.openxmlformats.org/officeDocument/2006/relationships/hyperlink" Target="mailto:beatebelz@gmx.de" TargetMode="External"/><Relationship Id="rId251" Type="http://schemas.openxmlformats.org/officeDocument/2006/relationships/hyperlink" Target="mailto:kornelia_mrowitzky@web.de" TargetMode="External"/><Relationship Id="rId25" Type="http://schemas.openxmlformats.org/officeDocument/2006/relationships/hyperlink" Target="mailto:heimuehle@t-online.de" TargetMode="External"/><Relationship Id="rId46" Type="http://schemas.openxmlformats.org/officeDocument/2006/relationships/hyperlink" Target="mailto:nadine.schuler@uniklinikum-saarland.de" TargetMode="External"/><Relationship Id="rId67" Type="http://schemas.openxmlformats.org/officeDocument/2006/relationships/hyperlink" Target="mailto:c.urban@hamburg.de" TargetMode="External"/><Relationship Id="rId272" Type="http://schemas.openxmlformats.org/officeDocument/2006/relationships/hyperlink" Target="mailto:Heike@Becker-Taunus.de" TargetMode="External"/><Relationship Id="rId88" Type="http://schemas.openxmlformats.org/officeDocument/2006/relationships/hyperlink" Target="mailto:astrigl@gmx.de" TargetMode="External"/><Relationship Id="rId111" Type="http://schemas.openxmlformats.org/officeDocument/2006/relationships/hyperlink" Target="mailto:fg@pflegermais.at" TargetMode="External"/><Relationship Id="rId132" Type="http://schemas.openxmlformats.org/officeDocument/2006/relationships/hyperlink" Target="mailto:canderslemkens@aol.com" TargetMode="External"/><Relationship Id="rId153" Type="http://schemas.openxmlformats.org/officeDocument/2006/relationships/hyperlink" Target="mailto:shochreiter@gmx.de" TargetMode="External"/><Relationship Id="rId174" Type="http://schemas.openxmlformats.org/officeDocument/2006/relationships/hyperlink" Target="mailto:ralt@swiss.com" TargetMode="External"/><Relationship Id="rId195" Type="http://schemas.openxmlformats.org/officeDocument/2006/relationships/hyperlink" Target="mailto:fg@pflegermais.at" TargetMode="External"/><Relationship Id="rId209" Type="http://schemas.openxmlformats.org/officeDocument/2006/relationships/hyperlink" Target="mailto:angelika.mehl@t-online.de" TargetMode="External"/><Relationship Id="rId220" Type="http://schemas.openxmlformats.org/officeDocument/2006/relationships/hyperlink" Target="mailto:jens.kromschroeder@web.de" TargetMode="External"/><Relationship Id="rId241" Type="http://schemas.openxmlformats.org/officeDocument/2006/relationships/hyperlink" Target="mailto:fc@licker.de" TargetMode="External"/><Relationship Id="rId15" Type="http://schemas.openxmlformats.org/officeDocument/2006/relationships/hyperlink" Target="mailto:christina.gerberding@t-online.de" TargetMode="External"/><Relationship Id="rId36" Type="http://schemas.openxmlformats.org/officeDocument/2006/relationships/hyperlink" Target="mailto:ebschmitter@bluewin.ch" TargetMode="External"/><Relationship Id="rId57" Type="http://schemas.openxmlformats.org/officeDocument/2006/relationships/hyperlink" Target="mailto:tmuellerteufel@email.de" TargetMode="External"/><Relationship Id="rId262" Type="http://schemas.openxmlformats.org/officeDocument/2006/relationships/hyperlink" Target="mailto:Gerhard.Meier-Kautenburger@malteser.org" TargetMode="External"/><Relationship Id="rId283" Type="http://schemas.openxmlformats.org/officeDocument/2006/relationships/hyperlink" Target="mailto:Rita.Strackbein@diskurs.net" TargetMode="External"/><Relationship Id="rId78" Type="http://schemas.openxmlformats.org/officeDocument/2006/relationships/hyperlink" Target="mailto:erwanhubert@free.fr" TargetMode="External"/><Relationship Id="rId99" Type="http://schemas.openxmlformats.org/officeDocument/2006/relationships/hyperlink" Target="mailto:erwanhubert@free.fr" TargetMode="External"/><Relationship Id="rId101" Type="http://schemas.openxmlformats.org/officeDocument/2006/relationships/hyperlink" Target="mailto:wegwart@web.de" TargetMode="External"/><Relationship Id="rId122" Type="http://schemas.openxmlformats.org/officeDocument/2006/relationships/hyperlink" Target="mailto:nicole.kuss@stadt.graz.at" TargetMode="External"/><Relationship Id="rId143" Type="http://schemas.openxmlformats.org/officeDocument/2006/relationships/hyperlink" Target="mailto:diane.dupont@ml.etat.lu" TargetMode="External"/><Relationship Id="rId164" Type="http://schemas.openxmlformats.org/officeDocument/2006/relationships/hyperlink" Target="mailto:hannelore.hornig@boekenhorst.de" TargetMode="External"/><Relationship Id="rId185" Type="http://schemas.openxmlformats.org/officeDocument/2006/relationships/hyperlink" Target="mailto:didier.priolet@free.fr" TargetMode="External"/><Relationship Id="rId9" Type="http://schemas.openxmlformats.org/officeDocument/2006/relationships/hyperlink" Target="mailto:pepin@ensea.fr" TargetMode="External"/><Relationship Id="rId210" Type="http://schemas.openxmlformats.org/officeDocument/2006/relationships/hyperlink" Target="mailto:martine.geib@education.lu" TargetMode="External"/><Relationship Id="rId26" Type="http://schemas.openxmlformats.org/officeDocument/2006/relationships/hyperlink" Target="mailto:bettina.ri@t-online.de" TargetMode="External"/><Relationship Id="rId231" Type="http://schemas.openxmlformats.org/officeDocument/2006/relationships/hyperlink" Target="mailto:u.wirth@alowag.ch" TargetMode="External"/><Relationship Id="rId252" Type="http://schemas.openxmlformats.org/officeDocument/2006/relationships/hyperlink" Target="mailto:helmut.joe.bergmann@t-online.de" TargetMode="External"/><Relationship Id="rId273" Type="http://schemas.openxmlformats.org/officeDocument/2006/relationships/hyperlink" Target="mailto:marko.mock@t-online.de" TargetMode="External"/><Relationship Id="rId47" Type="http://schemas.openxmlformats.org/officeDocument/2006/relationships/hyperlink" Target="mailto:s-demaret@wanadoo.fr" TargetMode="External"/><Relationship Id="rId68" Type="http://schemas.openxmlformats.org/officeDocument/2006/relationships/hyperlink" Target="mailto:sonja.siekkoetter@ewetel.net" TargetMode="External"/><Relationship Id="rId89" Type="http://schemas.openxmlformats.org/officeDocument/2006/relationships/hyperlink" Target="mailto:marjolein@hovingnet.nl" TargetMode="External"/><Relationship Id="rId112" Type="http://schemas.openxmlformats.org/officeDocument/2006/relationships/hyperlink" Target="mailto:rodriguenavlet@hotmail.com" TargetMode="External"/><Relationship Id="rId133" Type="http://schemas.openxmlformats.org/officeDocument/2006/relationships/hyperlink" Target="mailto:sandra@broekmann.de" TargetMode="External"/><Relationship Id="rId154" Type="http://schemas.openxmlformats.org/officeDocument/2006/relationships/hyperlink" Target="mailto:sanerlucia@gmail.com" TargetMode="External"/><Relationship Id="rId175" Type="http://schemas.openxmlformats.org/officeDocument/2006/relationships/hyperlink" Target="mailto:giesing-wegner@web.de" TargetMode="External"/><Relationship Id="rId196" Type="http://schemas.openxmlformats.org/officeDocument/2006/relationships/hyperlink" Target="mailto:rodriguenavlet@hotmail.com" TargetMode="External"/><Relationship Id="rId200" Type="http://schemas.openxmlformats.org/officeDocument/2006/relationships/hyperlink" Target="mailto:moreaulaurence@free.fr" TargetMode="External"/><Relationship Id="rId16" Type="http://schemas.openxmlformats.org/officeDocument/2006/relationships/hyperlink" Target="mailto:janine@felix-weber.com" TargetMode="External"/><Relationship Id="rId221" Type="http://schemas.openxmlformats.org/officeDocument/2006/relationships/hyperlink" Target="mailto:steinmetzdirk@yahoo.de" TargetMode="External"/><Relationship Id="rId242" Type="http://schemas.openxmlformats.org/officeDocument/2006/relationships/hyperlink" Target="mailto:alexacgn@gmail.com" TargetMode="External"/><Relationship Id="rId263" Type="http://schemas.openxmlformats.org/officeDocument/2006/relationships/hyperlink" Target="mailto:c.laudi@ib-laudi.de" TargetMode="External"/><Relationship Id="rId284" Type="http://schemas.openxmlformats.org/officeDocument/2006/relationships/hyperlink" Target="mailto:jens.kromschroeder@web.de" TargetMode="External"/><Relationship Id="rId37" Type="http://schemas.openxmlformats.org/officeDocument/2006/relationships/hyperlink" Target="mailto:guenterkrauch@web.de" TargetMode="External"/><Relationship Id="rId58" Type="http://schemas.openxmlformats.org/officeDocument/2006/relationships/hyperlink" Target="mailto:GrangerM@bsci.com" TargetMode="External"/><Relationship Id="rId79" Type="http://schemas.openxmlformats.org/officeDocument/2006/relationships/hyperlink" Target="mailto:N.koeninger@web.de" TargetMode="External"/><Relationship Id="rId102" Type="http://schemas.openxmlformats.org/officeDocument/2006/relationships/hyperlink" Target="mailto:amillet7@wanadoo.fr" TargetMode="External"/><Relationship Id="rId123" Type="http://schemas.openxmlformats.org/officeDocument/2006/relationships/hyperlink" Target="mailto:frieder.schaefer@gmx.de" TargetMode="External"/><Relationship Id="rId144" Type="http://schemas.openxmlformats.org/officeDocument/2006/relationships/hyperlink" Target="mailto:d.nelle@icloud.com" TargetMode="External"/><Relationship Id="rId90" Type="http://schemas.openxmlformats.org/officeDocument/2006/relationships/hyperlink" Target="mailto:odilecarlier@orange.fr" TargetMode="External"/><Relationship Id="rId165" Type="http://schemas.openxmlformats.org/officeDocument/2006/relationships/hyperlink" Target="mailto:giesing-wegner@web.de" TargetMode="External"/><Relationship Id="rId186" Type="http://schemas.openxmlformats.org/officeDocument/2006/relationships/hyperlink" Target="mailto:julia.poetschke@gmx.net" TargetMode="External"/><Relationship Id="rId211" Type="http://schemas.openxmlformats.org/officeDocument/2006/relationships/hyperlink" Target="mailto:kristellpouliquen@hotmail.fr" TargetMode="External"/><Relationship Id="rId232" Type="http://schemas.openxmlformats.org/officeDocument/2006/relationships/hyperlink" Target="mailto:jeanna@mail.ch" TargetMode="External"/><Relationship Id="rId253" Type="http://schemas.openxmlformats.org/officeDocument/2006/relationships/hyperlink" Target="mailto:pethei@msn.com" TargetMode="External"/><Relationship Id="rId274" Type="http://schemas.openxmlformats.org/officeDocument/2006/relationships/hyperlink" Target="mailto:birgit.schietinger@gmail.com" TargetMode="External"/><Relationship Id="rId27" Type="http://schemas.openxmlformats.org/officeDocument/2006/relationships/hyperlink" Target="mailto:joerg.parzl@mellinundmellin.de" TargetMode="External"/><Relationship Id="rId48" Type="http://schemas.openxmlformats.org/officeDocument/2006/relationships/hyperlink" Target="mailto:tilo@gmx.de" TargetMode="External"/><Relationship Id="rId69" Type="http://schemas.openxmlformats.org/officeDocument/2006/relationships/hyperlink" Target="mailto:lindner1984@yahoo.de" TargetMode="External"/><Relationship Id="rId113" Type="http://schemas.openxmlformats.org/officeDocument/2006/relationships/hyperlink" Target="mailto:brigittechanteloube@wanadoo.fr" TargetMode="External"/><Relationship Id="rId134" Type="http://schemas.openxmlformats.org/officeDocument/2006/relationships/hyperlink" Target="mailto:faber@freiburger-buchhalter.com" TargetMode="External"/><Relationship Id="rId80" Type="http://schemas.openxmlformats.org/officeDocument/2006/relationships/hyperlink" Target="mailto:Kinderhaus-Hauptmann@web.de" TargetMode="External"/><Relationship Id="rId155" Type="http://schemas.openxmlformats.org/officeDocument/2006/relationships/hyperlink" Target="mailto:danysilver812@gmail.com" TargetMode="External"/><Relationship Id="rId176" Type="http://schemas.openxmlformats.org/officeDocument/2006/relationships/hyperlink" Target="mailto:tanjaS1990@gmx.net" TargetMode="External"/><Relationship Id="rId197" Type="http://schemas.openxmlformats.org/officeDocument/2006/relationships/hyperlink" Target="mailto:brigittechanteloube@wanadoo.fr" TargetMode="External"/><Relationship Id="rId201" Type="http://schemas.openxmlformats.org/officeDocument/2006/relationships/hyperlink" Target="mailto:f.hain@gmx.de" TargetMode="External"/><Relationship Id="rId222" Type="http://schemas.openxmlformats.org/officeDocument/2006/relationships/hyperlink" Target="mailto:lena.holzschuh33@gmail.com" TargetMode="External"/><Relationship Id="rId243" Type="http://schemas.openxmlformats.org/officeDocument/2006/relationships/hyperlink" Target="mailto:helmut.joe.bergmann@t-online.de" TargetMode="External"/><Relationship Id="rId264" Type="http://schemas.openxmlformats.org/officeDocument/2006/relationships/hyperlink" Target="mailto:soohyun.lee@outlook.com" TargetMode="External"/><Relationship Id="rId285" Type="http://schemas.openxmlformats.org/officeDocument/2006/relationships/hyperlink" Target="mailto:christian.sallmann@lancom.de" TargetMode="External"/><Relationship Id="rId17" Type="http://schemas.openxmlformats.org/officeDocument/2006/relationships/hyperlink" Target="mailto:hula1@intergga.ch" TargetMode="External"/><Relationship Id="rId38" Type="http://schemas.openxmlformats.org/officeDocument/2006/relationships/hyperlink" Target="mailto:minaluni@yahoo.de" TargetMode="External"/><Relationship Id="rId59" Type="http://schemas.openxmlformats.org/officeDocument/2006/relationships/hyperlink" Target="mailto:christiansen@bk-erkelenz.de" TargetMode="External"/><Relationship Id="rId103" Type="http://schemas.openxmlformats.org/officeDocument/2006/relationships/hyperlink" Target="mailto:Pfostenberg@aol.com" TargetMode="External"/><Relationship Id="rId124" Type="http://schemas.openxmlformats.org/officeDocument/2006/relationships/hyperlink" Target="mailto:to.m@me.com" TargetMode="External"/><Relationship Id="rId70" Type="http://schemas.openxmlformats.org/officeDocument/2006/relationships/hyperlink" Target="mailto:sylvie.vla@live.com" TargetMode="External"/><Relationship Id="rId91" Type="http://schemas.openxmlformats.org/officeDocument/2006/relationships/hyperlink" Target="mailto:diane.dupont@ml.etat.lu" TargetMode="External"/><Relationship Id="rId145" Type="http://schemas.openxmlformats.org/officeDocument/2006/relationships/hyperlink" Target="mailto:ronmeier@zeelandnet.nl" TargetMode="External"/><Relationship Id="rId166" Type="http://schemas.openxmlformats.org/officeDocument/2006/relationships/hyperlink" Target="mailto:gesa.spike@gmx.de" TargetMode="External"/><Relationship Id="rId187" Type="http://schemas.openxmlformats.org/officeDocument/2006/relationships/hyperlink" Target="mailto:eva@allartz.de" TargetMode="External"/><Relationship Id="rId1" Type="http://schemas.openxmlformats.org/officeDocument/2006/relationships/hyperlink" Target="mailto:reinhardt@osw-eschbach.de" TargetMode="External"/><Relationship Id="rId212" Type="http://schemas.openxmlformats.org/officeDocument/2006/relationships/hyperlink" Target="mailto:giesing-wegner@web.de" TargetMode="External"/><Relationship Id="rId233" Type="http://schemas.openxmlformats.org/officeDocument/2006/relationships/hyperlink" Target="mailto:c-pelz@web.de" TargetMode="External"/><Relationship Id="rId254" Type="http://schemas.openxmlformats.org/officeDocument/2006/relationships/hyperlink" Target="mailto:andreilmes@bluewin.ch" TargetMode="External"/><Relationship Id="rId28" Type="http://schemas.openxmlformats.org/officeDocument/2006/relationships/hyperlink" Target="mailto:mruethy@bluewin.ch" TargetMode="External"/><Relationship Id="rId49" Type="http://schemas.openxmlformats.org/officeDocument/2006/relationships/hyperlink" Target="mailto:nadja@schlup.net" TargetMode="External"/><Relationship Id="rId114" Type="http://schemas.openxmlformats.org/officeDocument/2006/relationships/hyperlink" Target="tel:+4915115307260" TargetMode="External"/><Relationship Id="rId275" Type="http://schemas.openxmlformats.org/officeDocument/2006/relationships/hyperlink" Target="mailto:thomas.kuebli@fhotels.ch" TargetMode="External"/><Relationship Id="rId60" Type="http://schemas.openxmlformats.org/officeDocument/2006/relationships/hyperlink" Target="mailto:evanlierde@coldsetprintingpartners.be" TargetMode="External"/><Relationship Id="rId81" Type="http://schemas.openxmlformats.org/officeDocument/2006/relationships/hyperlink" Target="mailto:martindoherr@t-online.de" TargetMode="External"/><Relationship Id="rId135" Type="http://schemas.openxmlformats.org/officeDocument/2006/relationships/hyperlink" Target="mailto:stef-heinrich@web.de" TargetMode="External"/><Relationship Id="rId156" Type="http://schemas.openxmlformats.org/officeDocument/2006/relationships/hyperlink" Target="mailto:david.mueller@gmx.org" TargetMode="External"/><Relationship Id="rId177" Type="http://schemas.openxmlformats.org/officeDocument/2006/relationships/hyperlink" Target="mailto:audrey.morvan77176@gmail.com" TargetMode="External"/><Relationship Id="rId198" Type="http://schemas.openxmlformats.org/officeDocument/2006/relationships/hyperlink" Target="mailto:gmmanzi@aol.com" TargetMode="External"/><Relationship Id="rId202" Type="http://schemas.openxmlformats.org/officeDocument/2006/relationships/hyperlink" Target="mailto:asurbeck@t-online.de" TargetMode="External"/><Relationship Id="rId223" Type="http://schemas.openxmlformats.org/officeDocument/2006/relationships/hyperlink" Target="mailto:mgecko72@gmail.com" TargetMode="External"/><Relationship Id="rId244" Type="http://schemas.openxmlformats.org/officeDocument/2006/relationships/hyperlink" Target="mailto:joerg.ellermeyer@gmail.com" TargetMode="External"/><Relationship Id="rId18" Type="http://schemas.openxmlformats.org/officeDocument/2006/relationships/hyperlink" Target="mailto:cboedecker@arcor.de" TargetMode="External"/><Relationship Id="rId39" Type="http://schemas.openxmlformats.org/officeDocument/2006/relationships/hyperlink" Target="mailto:kiki.tipunch@wanadoo.fr" TargetMode="External"/><Relationship Id="rId265" Type="http://schemas.openxmlformats.org/officeDocument/2006/relationships/hyperlink" Target="mailto:christoph.hermann@archimedes-leasing.de" TargetMode="External"/><Relationship Id="rId286" Type="http://schemas.openxmlformats.org/officeDocument/2006/relationships/hyperlink" Target="mailto:birgit@kurus.de" TargetMode="External"/><Relationship Id="rId50" Type="http://schemas.openxmlformats.org/officeDocument/2006/relationships/hyperlink" Target="mailto:pepin@ensea.fr" TargetMode="External"/><Relationship Id="rId104" Type="http://schemas.openxmlformats.org/officeDocument/2006/relationships/hyperlink" Target="mailto:jhugow@snafu.de" TargetMode="External"/><Relationship Id="rId125" Type="http://schemas.openxmlformats.org/officeDocument/2006/relationships/hyperlink" Target="mailto:michaelamandt@yahoo.de" TargetMode="External"/><Relationship Id="rId146" Type="http://schemas.openxmlformats.org/officeDocument/2006/relationships/hyperlink" Target="mailto:ludovicthebault@yahoo.com" TargetMode="External"/><Relationship Id="rId167" Type="http://schemas.openxmlformats.org/officeDocument/2006/relationships/hyperlink" Target="mailto:fc@licker.de" TargetMode="External"/><Relationship Id="rId188" Type="http://schemas.openxmlformats.org/officeDocument/2006/relationships/hyperlink" Target="mailto:auftrittebert@aol.com" TargetMode="External"/><Relationship Id="rId71" Type="http://schemas.openxmlformats.org/officeDocument/2006/relationships/hyperlink" Target="mailto:tf.thomasfranke@t-online.de" TargetMode="External"/><Relationship Id="rId92" Type="http://schemas.openxmlformats.org/officeDocument/2006/relationships/hyperlink" Target="mailto:herveplateau1@gmail.com" TargetMode="External"/><Relationship Id="rId213" Type="http://schemas.openxmlformats.org/officeDocument/2006/relationships/hyperlink" Target="mailto:naiwreb@aol.com" TargetMode="External"/><Relationship Id="rId234" Type="http://schemas.openxmlformats.org/officeDocument/2006/relationships/hyperlink" Target="mailto:martin020489@s215275543.online.de" TargetMode="External"/><Relationship Id="rId2" Type="http://schemas.openxmlformats.org/officeDocument/2006/relationships/hyperlink" Target="mailto:sebastien.cornu@bluewin.ch" TargetMode="External"/><Relationship Id="rId29" Type="http://schemas.openxmlformats.org/officeDocument/2006/relationships/hyperlink" Target="mailto:rodriguenavlet@hotmail.com" TargetMode="External"/><Relationship Id="rId255" Type="http://schemas.openxmlformats.org/officeDocument/2006/relationships/hyperlink" Target="mailto:jens.kromschroeder@web.de" TargetMode="External"/><Relationship Id="rId276" Type="http://schemas.openxmlformats.org/officeDocument/2006/relationships/hyperlink" Target="mailto:sommer_bea@hotmail.com" TargetMode="External"/><Relationship Id="rId40" Type="http://schemas.openxmlformats.org/officeDocument/2006/relationships/hyperlink" Target="mailto:ed@ip-worldcom.ch" TargetMode="External"/><Relationship Id="rId115" Type="http://schemas.openxmlformats.org/officeDocument/2006/relationships/hyperlink" Target="mailto:gmmanzi@aol.com" TargetMode="External"/><Relationship Id="rId136" Type="http://schemas.openxmlformats.org/officeDocument/2006/relationships/hyperlink" Target="mailto:anny_393@gmx.at" TargetMode="External"/><Relationship Id="rId157" Type="http://schemas.openxmlformats.org/officeDocument/2006/relationships/hyperlink" Target="mailto:joachim.kleist@gmx.net" TargetMode="External"/><Relationship Id="rId178" Type="http://schemas.openxmlformats.org/officeDocument/2006/relationships/hyperlink" Target="mailto:u.wirth@alowag.ch" TargetMode="External"/><Relationship Id="rId61" Type="http://schemas.openxmlformats.org/officeDocument/2006/relationships/hyperlink" Target="mailto:spajean@wanadoo.fr" TargetMode="External"/><Relationship Id="rId82" Type="http://schemas.openxmlformats.org/officeDocument/2006/relationships/hyperlink" Target="mailto:paloma13@gmx.de" TargetMode="External"/><Relationship Id="rId199" Type="http://schemas.openxmlformats.org/officeDocument/2006/relationships/hyperlink" Target="mailto:katrin.fahr@googlemail.com" TargetMode="External"/><Relationship Id="rId203" Type="http://schemas.openxmlformats.org/officeDocument/2006/relationships/hyperlink" Target="mailto:star_moon4@hotmail.com" TargetMode="External"/><Relationship Id="rId19" Type="http://schemas.openxmlformats.org/officeDocument/2006/relationships/hyperlink" Target="mailto:rodriguenavlet@hotmail.com" TargetMode="External"/><Relationship Id="rId224" Type="http://schemas.openxmlformats.org/officeDocument/2006/relationships/hyperlink" Target="mailto:thalinchen75@gmx.de" TargetMode="External"/><Relationship Id="rId245" Type="http://schemas.openxmlformats.org/officeDocument/2006/relationships/hyperlink" Target="mailto:to.m@me.com" TargetMode="External"/><Relationship Id="rId266" Type="http://schemas.openxmlformats.org/officeDocument/2006/relationships/hyperlink" Target="mailto:ostsee-traum@web.de" TargetMode="External"/><Relationship Id="rId287" Type="http://schemas.openxmlformats.org/officeDocument/2006/relationships/hyperlink" Target="mailto:verena.reif@icloud.com" TargetMode="External"/><Relationship Id="rId30" Type="http://schemas.openxmlformats.org/officeDocument/2006/relationships/hyperlink" Target="mailto:pierre.chalard@univ-bpclermont.fr" TargetMode="External"/><Relationship Id="rId105" Type="http://schemas.openxmlformats.org/officeDocument/2006/relationships/hyperlink" Target="mailto:family@schlup.net" TargetMode="External"/><Relationship Id="rId126" Type="http://schemas.openxmlformats.org/officeDocument/2006/relationships/hyperlink" Target="mailto:joyo67_04@yahoo.com" TargetMode="External"/><Relationship Id="rId147" Type="http://schemas.openxmlformats.org/officeDocument/2006/relationships/hyperlink" Target="mailto:mail@birgithoffmann.com" TargetMode="External"/><Relationship Id="rId168" Type="http://schemas.openxmlformats.org/officeDocument/2006/relationships/hyperlink" Target="mailto:jens.kromschroeder@web.de" TargetMode="External"/><Relationship Id="rId51" Type="http://schemas.openxmlformats.org/officeDocument/2006/relationships/hyperlink" Target="mailto:kerri1409@googlemail.com" TargetMode="External"/><Relationship Id="rId72" Type="http://schemas.openxmlformats.org/officeDocument/2006/relationships/hyperlink" Target="mailto:rolland.josee@gmail.com" TargetMode="External"/><Relationship Id="rId93" Type="http://schemas.openxmlformats.org/officeDocument/2006/relationships/hyperlink" Target="mailto:elke@betten-hausen.de" TargetMode="External"/><Relationship Id="rId189" Type="http://schemas.openxmlformats.org/officeDocument/2006/relationships/hyperlink" Target="mailto:family@schlup.net" TargetMode="External"/><Relationship Id="rId3" Type="http://schemas.openxmlformats.org/officeDocument/2006/relationships/hyperlink" Target="mailto:denis.minel@laposte.net" TargetMode="External"/><Relationship Id="rId214" Type="http://schemas.openxmlformats.org/officeDocument/2006/relationships/hyperlink" Target="mailto:beatebelz@gmx.de" TargetMode="External"/><Relationship Id="rId235" Type="http://schemas.openxmlformats.org/officeDocument/2006/relationships/hyperlink" Target="mailto:diane.dupont@ml.etat.lu" TargetMode="External"/><Relationship Id="rId256" Type="http://schemas.openxmlformats.org/officeDocument/2006/relationships/hyperlink" Target="mailto:claudia101175@yahoo.de" TargetMode="External"/><Relationship Id="rId277" Type="http://schemas.openxmlformats.org/officeDocument/2006/relationships/hyperlink" Target="mailto:mgauff@mgauff.com" TargetMode="External"/><Relationship Id="rId116" Type="http://schemas.openxmlformats.org/officeDocument/2006/relationships/hyperlink" Target="mailto:katrin.fahr@googlemail.com" TargetMode="External"/><Relationship Id="rId137" Type="http://schemas.openxmlformats.org/officeDocument/2006/relationships/hyperlink" Target="mailto:ryser.ittigen@bluewin.ch" TargetMode="External"/><Relationship Id="rId158" Type="http://schemas.openxmlformats.org/officeDocument/2006/relationships/hyperlink" Target="mailto:tanjaS1990@gmx.net" TargetMode="External"/><Relationship Id="rId20" Type="http://schemas.openxmlformats.org/officeDocument/2006/relationships/hyperlink" Target="mailto:m.moussie@numericable.com" TargetMode="External"/><Relationship Id="rId41" Type="http://schemas.openxmlformats.org/officeDocument/2006/relationships/hyperlink" Target="mailto:andreas.grimm2@web.de" TargetMode="External"/><Relationship Id="rId62" Type="http://schemas.openxmlformats.org/officeDocument/2006/relationships/hyperlink" Target="mailto:marchal@woodfashion.com" TargetMode="External"/><Relationship Id="rId83" Type="http://schemas.openxmlformats.org/officeDocument/2006/relationships/hyperlink" Target="mailto:rainer.wittemann@hotmail.de" TargetMode="External"/><Relationship Id="rId179" Type="http://schemas.openxmlformats.org/officeDocument/2006/relationships/hyperlink" Target="mailto:tierphysio-elber@hotmail.com" TargetMode="External"/><Relationship Id="rId190" Type="http://schemas.openxmlformats.org/officeDocument/2006/relationships/hyperlink" Target="mailto:diane.dupont@ml.etat.lu" TargetMode="External"/><Relationship Id="rId204" Type="http://schemas.openxmlformats.org/officeDocument/2006/relationships/hyperlink" Target="mailto:rckuhn@web.de" TargetMode="External"/><Relationship Id="rId225" Type="http://schemas.openxmlformats.org/officeDocument/2006/relationships/hyperlink" Target="mailto:jens.kromschroeder@web.de" TargetMode="External"/><Relationship Id="rId246" Type="http://schemas.openxmlformats.org/officeDocument/2006/relationships/hyperlink" Target="mailto:giesing-wegner@web.de" TargetMode="External"/><Relationship Id="rId267" Type="http://schemas.openxmlformats.org/officeDocument/2006/relationships/hyperlink" Target="mailto:thomaskrebs@gmx.ch" TargetMode="External"/><Relationship Id="rId106" Type="http://schemas.openxmlformats.org/officeDocument/2006/relationships/hyperlink" Target="mailto:diane.dupont@ml.etat.lu" TargetMode="External"/><Relationship Id="rId127" Type="http://schemas.openxmlformats.org/officeDocument/2006/relationships/hyperlink" Target="mailto:alwin_steiner@gmx.de" TargetMode="External"/><Relationship Id="rId10" Type="http://schemas.openxmlformats.org/officeDocument/2006/relationships/hyperlink" Target="mailto:mascha@blatow.de" TargetMode="External"/><Relationship Id="rId31" Type="http://schemas.openxmlformats.org/officeDocument/2006/relationships/hyperlink" Target="mailto:gaelle7801@live.fr" TargetMode="External"/><Relationship Id="rId52" Type="http://schemas.openxmlformats.org/officeDocument/2006/relationships/hyperlink" Target="mailto:larmadio@wanadoo.fr" TargetMode="External"/><Relationship Id="rId73" Type="http://schemas.openxmlformats.org/officeDocument/2006/relationships/hyperlink" Target="mailto:silvio_kell@yahoo.de" TargetMode="External"/><Relationship Id="rId94" Type="http://schemas.openxmlformats.org/officeDocument/2006/relationships/hyperlink" Target="mailto:brendaruck@zeelandnet.nl" TargetMode="External"/><Relationship Id="rId148" Type="http://schemas.openxmlformats.org/officeDocument/2006/relationships/hyperlink" Target="mailto:tamara.d.hersperger@gmail.com" TargetMode="External"/><Relationship Id="rId169" Type="http://schemas.openxmlformats.org/officeDocument/2006/relationships/hyperlink" Target="mailto:andreilmes@bluewin.ch" TargetMode="External"/><Relationship Id="rId4" Type="http://schemas.openxmlformats.org/officeDocument/2006/relationships/hyperlink" Target="mailto:wallnergmbh@t-online.de" TargetMode="External"/><Relationship Id="rId180" Type="http://schemas.openxmlformats.org/officeDocument/2006/relationships/hyperlink" Target="mailto:wolfgang.reichelt@dekra.com" TargetMode="External"/><Relationship Id="rId215" Type="http://schemas.openxmlformats.org/officeDocument/2006/relationships/hyperlink" Target="mailto:ko_0815@yahoo.de" TargetMode="External"/><Relationship Id="rId236" Type="http://schemas.openxmlformats.org/officeDocument/2006/relationships/hyperlink" Target="mailto:anjaspecht75@googlemail.com" TargetMode="External"/><Relationship Id="rId257" Type="http://schemas.openxmlformats.org/officeDocument/2006/relationships/hyperlink" Target="mailto:huemer.martina@gmail.com" TargetMode="External"/><Relationship Id="rId278" Type="http://schemas.openxmlformats.org/officeDocument/2006/relationships/hyperlink" Target="mailto:c.hueltenschmidt@yahoo.de%3E" TargetMode="External"/><Relationship Id="rId42" Type="http://schemas.openxmlformats.org/officeDocument/2006/relationships/hyperlink" Target="mailto:m.sander@elektrobartels.de" TargetMode="External"/><Relationship Id="rId84" Type="http://schemas.openxmlformats.org/officeDocument/2006/relationships/hyperlink" Target="mailto:dinouardnadie@hotmail.fr" TargetMode="External"/><Relationship Id="rId138" Type="http://schemas.openxmlformats.org/officeDocument/2006/relationships/hyperlink" Target="mailto:beateritter@t-online.de" TargetMode="External"/><Relationship Id="rId191" Type="http://schemas.openxmlformats.org/officeDocument/2006/relationships/hyperlink" Target="mailto:sandra@rudelwohl-zach.de" TargetMode="External"/><Relationship Id="rId205" Type="http://schemas.openxmlformats.org/officeDocument/2006/relationships/hyperlink" Target="mailto:frieder.schaefer@gmx.de" TargetMode="External"/><Relationship Id="rId247" Type="http://schemas.openxmlformats.org/officeDocument/2006/relationships/hyperlink" Target="mailto:familie.tilmann@bluewin.ch" TargetMode="External"/><Relationship Id="rId107" Type="http://schemas.openxmlformats.org/officeDocument/2006/relationships/hyperlink" Target="mailto:sandra@rudelwohl-zach.de" TargetMode="External"/><Relationship Id="rId11" Type="http://schemas.openxmlformats.org/officeDocument/2006/relationships/hyperlink" Target="mailto:mic.ti@orange.fr" TargetMode="External"/><Relationship Id="rId53" Type="http://schemas.openxmlformats.org/officeDocument/2006/relationships/hyperlink" Target="mailto:eifelinfo@t-online.de" TargetMode="External"/><Relationship Id="rId149" Type="http://schemas.openxmlformats.org/officeDocument/2006/relationships/hyperlink" Target="mailto:michelle.schneider@ptworldwide.de" TargetMode="External"/><Relationship Id="rId95" Type="http://schemas.openxmlformats.org/officeDocument/2006/relationships/hyperlink" Target="mailto:joerg.gottwald@hotmail.de" TargetMode="External"/><Relationship Id="rId160" Type="http://schemas.openxmlformats.org/officeDocument/2006/relationships/hyperlink" Target="mailto:thierry.amirgholami@outlook.de" TargetMode="External"/><Relationship Id="rId216" Type="http://schemas.openxmlformats.org/officeDocument/2006/relationships/hyperlink" Target="mailto:stephane.pollino@gmail.com" TargetMode="External"/><Relationship Id="rId258" Type="http://schemas.openxmlformats.org/officeDocument/2006/relationships/hyperlink" Target="mailto:blumen.glantschnig@telfs.com" TargetMode="External"/><Relationship Id="rId22" Type="http://schemas.openxmlformats.org/officeDocument/2006/relationships/hyperlink" Target="mailto:markus.kandels@web.de" TargetMode="External"/><Relationship Id="rId64" Type="http://schemas.openxmlformats.org/officeDocument/2006/relationships/hyperlink" Target="mailto:erwanhubert@free.fr" TargetMode="External"/><Relationship Id="rId118" Type="http://schemas.openxmlformats.org/officeDocument/2006/relationships/hyperlink" Target="mailto:f.hain@gmx.de" TargetMode="Externa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17" Type="http://schemas.openxmlformats.org/officeDocument/2006/relationships/hyperlink" Target="tel:+4915115307260" TargetMode="External"/><Relationship Id="rId299" Type="http://schemas.openxmlformats.org/officeDocument/2006/relationships/hyperlink" Target="mailto:silvio_kell@yahoo.de" TargetMode="External"/><Relationship Id="rId21" Type="http://schemas.openxmlformats.org/officeDocument/2006/relationships/hyperlink" Target="mailto:jutta.holnburger@gmx.de" TargetMode="External"/><Relationship Id="rId63" Type="http://schemas.openxmlformats.org/officeDocument/2006/relationships/hyperlink" Target="mailto:dres.sander@web.de" TargetMode="External"/><Relationship Id="rId159" Type="http://schemas.openxmlformats.org/officeDocument/2006/relationships/hyperlink" Target="mailto:david.mueller@gmx.org" TargetMode="External"/><Relationship Id="rId324" Type="http://schemas.openxmlformats.org/officeDocument/2006/relationships/hyperlink" Target="mailto:f.hain@gmx.de" TargetMode="External"/><Relationship Id="rId366" Type="http://schemas.openxmlformats.org/officeDocument/2006/relationships/hyperlink" Target="mailto:jens.kromschroeder@web.de" TargetMode="External"/><Relationship Id="rId170" Type="http://schemas.openxmlformats.org/officeDocument/2006/relationships/hyperlink" Target="mailto:pedro-l@bluemail.ch" TargetMode="External"/><Relationship Id="rId226" Type="http://schemas.openxmlformats.org/officeDocument/2006/relationships/hyperlink" Target="mailto:to.m@me.com" TargetMode="External"/><Relationship Id="rId433" Type="http://schemas.openxmlformats.org/officeDocument/2006/relationships/hyperlink" Target="mailto:andreilmes@bluewin.ch" TargetMode="External"/><Relationship Id="rId268" Type="http://schemas.openxmlformats.org/officeDocument/2006/relationships/hyperlink" Target="mailto:wallnergmbh@t-online.de" TargetMode="External"/><Relationship Id="rId32" Type="http://schemas.openxmlformats.org/officeDocument/2006/relationships/hyperlink" Target="mailto:biggil@hotmail.de" TargetMode="External"/><Relationship Id="rId74" Type="http://schemas.openxmlformats.org/officeDocument/2006/relationships/hyperlink" Target="mailto:kuppler2@t-online.de" TargetMode="External"/><Relationship Id="rId128" Type="http://schemas.openxmlformats.org/officeDocument/2006/relationships/hyperlink" Target="mailto:michaelamandt@yahoo.de" TargetMode="External"/><Relationship Id="rId335" Type="http://schemas.openxmlformats.org/officeDocument/2006/relationships/hyperlink" Target="mailto:nadia.koesters@gmx.de" TargetMode="External"/><Relationship Id="rId377" Type="http://schemas.openxmlformats.org/officeDocument/2006/relationships/hyperlink" Target="mailto:skjelsvik@sunrise.ch" TargetMode="External"/><Relationship Id="rId5" Type="http://schemas.openxmlformats.org/officeDocument/2006/relationships/hyperlink" Target="mailto:BeateSchweitzer@hotmail.com" TargetMode="External"/><Relationship Id="rId181" Type="http://schemas.openxmlformats.org/officeDocument/2006/relationships/hyperlink" Target="mailto:alexacgn@gmail.com" TargetMode="External"/><Relationship Id="rId237" Type="http://schemas.openxmlformats.org/officeDocument/2006/relationships/hyperlink" Target="mailto:auftrittebert@aol.com" TargetMode="External"/><Relationship Id="rId402" Type="http://schemas.openxmlformats.org/officeDocument/2006/relationships/hyperlink" Target="mailto:unglaub@arcor.de" TargetMode="External"/><Relationship Id="rId279" Type="http://schemas.openxmlformats.org/officeDocument/2006/relationships/hyperlink" Target="mailto:heimuehle@t-online.de" TargetMode="External"/><Relationship Id="rId43" Type="http://schemas.openxmlformats.org/officeDocument/2006/relationships/hyperlink" Target="mailto:Fabrice.FLAMME@spw.wallonie.be" TargetMode="External"/><Relationship Id="rId139" Type="http://schemas.openxmlformats.org/officeDocument/2006/relationships/hyperlink" Target="mailto:anny_393@gmx.at" TargetMode="External"/><Relationship Id="rId290" Type="http://schemas.openxmlformats.org/officeDocument/2006/relationships/hyperlink" Target="mailto:tmuellerteufel@email.de" TargetMode="External"/><Relationship Id="rId304" Type="http://schemas.openxmlformats.org/officeDocument/2006/relationships/hyperlink" Target="mailto:Kinderhaus-Hauptmann@web.de" TargetMode="External"/><Relationship Id="rId346" Type="http://schemas.openxmlformats.org/officeDocument/2006/relationships/hyperlink" Target="mailto:mail@birgithoffmann.com" TargetMode="External"/><Relationship Id="rId388" Type="http://schemas.openxmlformats.org/officeDocument/2006/relationships/hyperlink" Target="mailto:kmercedes300@aol.com" TargetMode="External"/><Relationship Id="rId85" Type="http://schemas.openxmlformats.org/officeDocument/2006/relationships/hyperlink" Target="mailto:nathalie.bourson@education.lu" TargetMode="External"/><Relationship Id="rId150" Type="http://schemas.openxmlformats.org/officeDocument/2006/relationships/hyperlink" Target="mailto:mail@birgithoffmann.com" TargetMode="External"/><Relationship Id="rId192" Type="http://schemas.openxmlformats.org/officeDocument/2006/relationships/hyperlink" Target="mailto:jhammerschmied@outlook.com" TargetMode="External"/><Relationship Id="rId206" Type="http://schemas.openxmlformats.org/officeDocument/2006/relationships/hyperlink" Target="mailto:gmmanzi@aol.com" TargetMode="External"/><Relationship Id="rId413" Type="http://schemas.openxmlformats.org/officeDocument/2006/relationships/hyperlink" Target="mailto:u.wirth@alowag.ch" TargetMode="External"/><Relationship Id="rId248" Type="http://schemas.openxmlformats.org/officeDocument/2006/relationships/hyperlink" Target="mailto:martin.haefner@nexgo.de" TargetMode="External"/><Relationship Id="rId12" Type="http://schemas.openxmlformats.org/officeDocument/2006/relationships/hyperlink" Target="mailto:wunderhorn@t-online.de" TargetMode="External"/><Relationship Id="rId108" Type="http://schemas.openxmlformats.org/officeDocument/2006/relationships/hyperlink" Target="mailto:family@schlup.net" TargetMode="External"/><Relationship Id="rId315" Type="http://schemas.openxmlformats.org/officeDocument/2006/relationships/hyperlink" Target="mailto:convento@t-online.de" TargetMode="External"/><Relationship Id="rId357" Type="http://schemas.openxmlformats.org/officeDocument/2006/relationships/hyperlink" Target="mailto:carmen.bilau-lehre@gmx.de" TargetMode="External"/><Relationship Id="rId54" Type="http://schemas.openxmlformats.org/officeDocument/2006/relationships/hyperlink" Target="mailto:hans.janse@hetnet.nl" TargetMode="External"/><Relationship Id="rId96" Type="http://schemas.openxmlformats.org/officeDocument/2006/relationships/hyperlink" Target="mailto:tran.giang@me.com" TargetMode="External"/><Relationship Id="rId161" Type="http://schemas.openxmlformats.org/officeDocument/2006/relationships/hyperlink" Target="mailto:carmen.bilau-lehre@gmx.de" TargetMode="External"/><Relationship Id="rId217" Type="http://schemas.openxmlformats.org/officeDocument/2006/relationships/hyperlink" Target="mailto:angelika.mehl@t-online.de" TargetMode="External"/><Relationship Id="rId399" Type="http://schemas.openxmlformats.org/officeDocument/2006/relationships/hyperlink" Target="mailto:ko_0815@yahoo.de" TargetMode="External"/><Relationship Id="rId259" Type="http://schemas.openxmlformats.org/officeDocument/2006/relationships/hyperlink" Target="mailto:kornelia_mrowitzky@web.de" TargetMode="External"/><Relationship Id="rId424" Type="http://schemas.openxmlformats.org/officeDocument/2006/relationships/hyperlink" Target="mailto:joerg.ellermeyer@gmail.com" TargetMode="External"/><Relationship Id="rId23" Type="http://schemas.openxmlformats.org/officeDocument/2006/relationships/hyperlink" Target="mailto:peter.seuss@googlemail.com" TargetMode="External"/><Relationship Id="rId119" Type="http://schemas.openxmlformats.org/officeDocument/2006/relationships/hyperlink" Target="mailto:katrin.fahr@googlemail.com" TargetMode="External"/><Relationship Id="rId270" Type="http://schemas.openxmlformats.org/officeDocument/2006/relationships/hyperlink" Target="mailto:nadja.scaglione@bluewin.ch" TargetMode="External"/><Relationship Id="rId326" Type="http://schemas.openxmlformats.org/officeDocument/2006/relationships/hyperlink" Target="mailto:rckuhn@web.de" TargetMode="External"/><Relationship Id="rId65" Type="http://schemas.openxmlformats.org/officeDocument/2006/relationships/hyperlink" Target="mailto:niegengerd@hotmail.com" TargetMode="External"/><Relationship Id="rId130" Type="http://schemas.openxmlformats.org/officeDocument/2006/relationships/hyperlink" Target="mailto:alwin_steiner@gmx.de" TargetMode="External"/><Relationship Id="rId368" Type="http://schemas.openxmlformats.org/officeDocument/2006/relationships/hyperlink" Target="mailto:info@hof-luckmann.de" TargetMode="External"/><Relationship Id="rId172" Type="http://schemas.openxmlformats.org/officeDocument/2006/relationships/hyperlink" Target="mailto:hannelore.hornig@boekenhorst.de" TargetMode="External"/><Relationship Id="rId228" Type="http://schemas.openxmlformats.org/officeDocument/2006/relationships/hyperlink" Target="mailto:jens.kromschroeder@web.de" TargetMode="External"/><Relationship Id="rId435" Type="http://schemas.openxmlformats.org/officeDocument/2006/relationships/hyperlink" Target="mailto:claudia101175@yahoo.de" TargetMode="External"/><Relationship Id="rId281" Type="http://schemas.openxmlformats.org/officeDocument/2006/relationships/hyperlink" Target="mailto:biggil@hotmail.de" TargetMode="External"/><Relationship Id="rId337" Type="http://schemas.openxmlformats.org/officeDocument/2006/relationships/hyperlink" Target="mailto:sandra@broekmann.de" TargetMode="External"/><Relationship Id="rId34" Type="http://schemas.openxmlformats.org/officeDocument/2006/relationships/hyperlink" Target="mailto:movet.jean-pierre@neuf.fr" TargetMode="External"/><Relationship Id="rId76" Type="http://schemas.openxmlformats.org/officeDocument/2006/relationships/hyperlink" Target="mailto:axelschreiter@yahoo.de" TargetMode="External"/><Relationship Id="rId141" Type="http://schemas.openxmlformats.org/officeDocument/2006/relationships/hyperlink" Target="mailto:beateritter@t-online.de" TargetMode="External"/><Relationship Id="rId379" Type="http://schemas.openxmlformats.org/officeDocument/2006/relationships/hyperlink" Target="mailto:ursstirnemann@bluewin.ch" TargetMode="External"/><Relationship Id="rId7" Type="http://schemas.openxmlformats.org/officeDocument/2006/relationships/hyperlink" Target="mailto:nadja.scaglione@bluewin.ch" TargetMode="External"/><Relationship Id="rId183" Type="http://schemas.openxmlformats.org/officeDocument/2006/relationships/hyperlink" Target="mailto:giesing-wegner@web.de" TargetMode="External"/><Relationship Id="rId239" Type="http://schemas.openxmlformats.org/officeDocument/2006/relationships/hyperlink" Target="mailto:u.wirth@alowag.ch" TargetMode="External"/><Relationship Id="rId390" Type="http://schemas.openxmlformats.org/officeDocument/2006/relationships/hyperlink" Target="mailto:rodriguenavlet@hotmail.com" TargetMode="External"/><Relationship Id="rId404" Type="http://schemas.openxmlformats.org/officeDocument/2006/relationships/hyperlink" Target="mailto:steinmetzdirk@yahoo.de" TargetMode="External"/><Relationship Id="rId250" Type="http://schemas.openxmlformats.org/officeDocument/2006/relationships/hyperlink" Target="mailto:alexacgn@gmail.com" TargetMode="External"/><Relationship Id="rId292" Type="http://schemas.openxmlformats.org/officeDocument/2006/relationships/hyperlink" Target="mailto:dres.sander@web.de" TargetMode="External"/><Relationship Id="rId306" Type="http://schemas.openxmlformats.org/officeDocument/2006/relationships/hyperlink" Target="mailto:paloma13@gmx.de" TargetMode="External"/><Relationship Id="rId45" Type="http://schemas.openxmlformats.org/officeDocument/2006/relationships/hyperlink" Target="mailto:dede7@pt.lu" TargetMode="External"/><Relationship Id="rId87" Type="http://schemas.openxmlformats.org/officeDocument/2006/relationships/hyperlink" Target="mailto:cbtkw@email.de" TargetMode="External"/><Relationship Id="rId110" Type="http://schemas.openxmlformats.org/officeDocument/2006/relationships/hyperlink" Target="mailto:sandra@rudelwohl-zach.de" TargetMode="External"/><Relationship Id="rId348" Type="http://schemas.openxmlformats.org/officeDocument/2006/relationships/hyperlink" Target="mailto:michelle.schneider@ptworldwide.de" TargetMode="External"/><Relationship Id="rId152" Type="http://schemas.openxmlformats.org/officeDocument/2006/relationships/hyperlink" Target="mailto:michelle.schneider@ptworldwide.de" TargetMode="External"/><Relationship Id="rId194" Type="http://schemas.openxmlformats.org/officeDocument/2006/relationships/hyperlink" Target="mailto:julia.poetschke@gmx.net" TargetMode="External"/><Relationship Id="rId208" Type="http://schemas.openxmlformats.org/officeDocument/2006/relationships/hyperlink" Target="mailto:moreaulaurence@free.fr" TargetMode="External"/><Relationship Id="rId415" Type="http://schemas.openxmlformats.org/officeDocument/2006/relationships/hyperlink" Target="mailto:martin020489@s215275543.online.de" TargetMode="External"/><Relationship Id="rId261" Type="http://schemas.openxmlformats.org/officeDocument/2006/relationships/hyperlink" Target="mailto:pethei@msn.com" TargetMode="External"/><Relationship Id="rId14" Type="http://schemas.openxmlformats.org/officeDocument/2006/relationships/hyperlink" Target="mailto:ascholte@pt.lu" TargetMode="External"/><Relationship Id="rId56" Type="http://schemas.openxmlformats.org/officeDocument/2006/relationships/hyperlink" Target="mailto:ingrid.hanisch@freenet.de" TargetMode="External"/><Relationship Id="rId317" Type="http://schemas.openxmlformats.org/officeDocument/2006/relationships/hyperlink" Target="mailto:sandra@rudelwohl-zach.de" TargetMode="External"/><Relationship Id="rId359" Type="http://schemas.openxmlformats.org/officeDocument/2006/relationships/hyperlink" Target="mailto:tanjaS1990@gmx.net" TargetMode="External"/><Relationship Id="rId98" Type="http://schemas.openxmlformats.org/officeDocument/2006/relationships/hyperlink" Target="mailto:x-oph@gmx.net" TargetMode="External"/><Relationship Id="rId121" Type="http://schemas.openxmlformats.org/officeDocument/2006/relationships/hyperlink" Target="mailto:f.hain@gmx.de" TargetMode="External"/><Relationship Id="rId163" Type="http://schemas.openxmlformats.org/officeDocument/2006/relationships/hyperlink" Target="mailto:manuelakill@gmx.de" TargetMode="External"/><Relationship Id="rId219" Type="http://schemas.openxmlformats.org/officeDocument/2006/relationships/hyperlink" Target="mailto:kristellpouliquen@hotmail.fr" TargetMode="External"/><Relationship Id="rId370" Type="http://schemas.openxmlformats.org/officeDocument/2006/relationships/hyperlink" Target="mailto:alexacgn@gmail.com" TargetMode="External"/><Relationship Id="rId426" Type="http://schemas.openxmlformats.org/officeDocument/2006/relationships/hyperlink" Target="mailto:giesing-wegner@web.de" TargetMode="External"/><Relationship Id="rId230" Type="http://schemas.openxmlformats.org/officeDocument/2006/relationships/hyperlink" Target="mailto:lena.holzschuh33@gmail.com" TargetMode="External"/><Relationship Id="rId25" Type="http://schemas.openxmlformats.org/officeDocument/2006/relationships/hyperlink" Target="mailto:heimuehle@t-online.de" TargetMode="External"/><Relationship Id="rId67" Type="http://schemas.openxmlformats.org/officeDocument/2006/relationships/hyperlink" Target="mailto:c.urban@hamburg.de" TargetMode="External"/><Relationship Id="rId272" Type="http://schemas.openxmlformats.org/officeDocument/2006/relationships/hyperlink" Target="mailto:mangold.lth@arcor.de" TargetMode="External"/><Relationship Id="rId328" Type="http://schemas.openxmlformats.org/officeDocument/2006/relationships/hyperlink" Target="mailto:frieder.schaefer@gmx.de" TargetMode="External"/><Relationship Id="rId132" Type="http://schemas.openxmlformats.org/officeDocument/2006/relationships/hyperlink" Target="mailto:ingrid.hanisch@freenet.de" TargetMode="External"/><Relationship Id="rId174" Type="http://schemas.openxmlformats.org/officeDocument/2006/relationships/hyperlink" Target="mailto:gesa.spike@gmx.de" TargetMode="External"/><Relationship Id="rId381" Type="http://schemas.openxmlformats.org/officeDocument/2006/relationships/hyperlink" Target="mailto:julia.poetschke@gmx.net" TargetMode="External"/><Relationship Id="rId241" Type="http://schemas.openxmlformats.org/officeDocument/2006/relationships/hyperlink" Target="mailto:c-pelz@web.de" TargetMode="External"/><Relationship Id="rId437" Type="http://schemas.openxmlformats.org/officeDocument/2006/relationships/hyperlink" Target="mailto:blumen.glantschnig@telfs.com" TargetMode="External"/><Relationship Id="rId36" Type="http://schemas.openxmlformats.org/officeDocument/2006/relationships/hyperlink" Target="mailto:ebschmitter@bluewin.ch" TargetMode="External"/><Relationship Id="rId283" Type="http://schemas.openxmlformats.org/officeDocument/2006/relationships/hyperlink" Target="mailto:andreas.grimm2@web.de" TargetMode="External"/><Relationship Id="rId339" Type="http://schemas.openxmlformats.org/officeDocument/2006/relationships/hyperlink" Target="mailto:stef-heinrich@web.de" TargetMode="External"/><Relationship Id="rId78" Type="http://schemas.openxmlformats.org/officeDocument/2006/relationships/hyperlink" Target="mailto:erwanhubert@free.fr" TargetMode="External"/><Relationship Id="rId101" Type="http://schemas.openxmlformats.org/officeDocument/2006/relationships/hyperlink" Target="mailto:wegwart@web.de" TargetMode="External"/><Relationship Id="rId143" Type="http://schemas.openxmlformats.org/officeDocument/2006/relationships/hyperlink" Target="mailto:odilecarlier@orange.fr" TargetMode="External"/><Relationship Id="rId185" Type="http://schemas.openxmlformats.org/officeDocument/2006/relationships/hyperlink" Target="mailto:audrey.morvan77176@gmail.com" TargetMode="External"/><Relationship Id="rId350" Type="http://schemas.openxmlformats.org/officeDocument/2006/relationships/hyperlink" Target="mailto:cdoering@mailbox.org" TargetMode="External"/><Relationship Id="rId406" Type="http://schemas.openxmlformats.org/officeDocument/2006/relationships/hyperlink" Target="mailto:mgecko72@gmail.com" TargetMode="External"/><Relationship Id="rId9" Type="http://schemas.openxmlformats.org/officeDocument/2006/relationships/hyperlink" Target="mailto:pepin@ensea.fr" TargetMode="External"/><Relationship Id="rId210" Type="http://schemas.openxmlformats.org/officeDocument/2006/relationships/hyperlink" Target="mailto:asurbeck@t-online.de" TargetMode="External"/><Relationship Id="rId392" Type="http://schemas.openxmlformats.org/officeDocument/2006/relationships/hyperlink" Target="mailto:star_moon4@hotmail.com" TargetMode="External"/><Relationship Id="rId252" Type="http://schemas.openxmlformats.org/officeDocument/2006/relationships/hyperlink" Target="mailto:joerg.ellermeyer@gmail.com" TargetMode="External"/><Relationship Id="rId294" Type="http://schemas.openxmlformats.org/officeDocument/2006/relationships/hyperlink" Target="mailto:nadja@schlup.net" TargetMode="External"/><Relationship Id="rId308" Type="http://schemas.openxmlformats.org/officeDocument/2006/relationships/hyperlink" Target="mailto:cbtkw@email.de" TargetMode="External"/><Relationship Id="rId47" Type="http://schemas.openxmlformats.org/officeDocument/2006/relationships/hyperlink" Target="mailto:s-demaret@wanadoo.fr" TargetMode="External"/><Relationship Id="rId89" Type="http://schemas.openxmlformats.org/officeDocument/2006/relationships/hyperlink" Target="mailto:marjolein@hovingnet.nl" TargetMode="External"/><Relationship Id="rId112" Type="http://schemas.openxmlformats.org/officeDocument/2006/relationships/hyperlink" Target="mailto:sandra@broekmann.de" TargetMode="External"/><Relationship Id="rId154" Type="http://schemas.openxmlformats.org/officeDocument/2006/relationships/hyperlink" Target="mailto:cdoering@mailbox.org" TargetMode="External"/><Relationship Id="rId361" Type="http://schemas.openxmlformats.org/officeDocument/2006/relationships/hyperlink" Target="mailto:pedro-l@bluemail.ch" TargetMode="External"/><Relationship Id="rId196" Type="http://schemas.openxmlformats.org/officeDocument/2006/relationships/hyperlink" Target="mailto:auftrittebert@aol.com" TargetMode="External"/><Relationship Id="rId417" Type="http://schemas.openxmlformats.org/officeDocument/2006/relationships/hyperlink" Target="mailto:jbrinkmann64@web.de" TargetMode="External"/><Relationship Id="rId16" Type="http://schemas.openxmlformats.org/officeDocument/2006/relationships/hyperlink" Target="mailto:janine@felix-weber.com" TargetMode="External"/><Relationship Id="rId221" Type="http://schemas.openxmlformats.org/officeDocument/2006/relationships/hyperlink" Target="mailto:naiwreb@aol.com" TargetMode="External"/><Relationship Id="rId263" Type="http://schemas.openxmlformats.org/officeDocument/2006/relationships/hyperlink" Target="mailto:jens.kromschroeder@web.de" TargetMode="External"/><Relationship Id="rId319" Type="http://schemas.openxmlformats.org/officeDocument/2006/relationships/hyperlink" Target="mailto:sandra@broekmann.de" TargetMode="External"/><Relationship Id="rId58" Type="http://schemas.openxmlformats.org/officeDocument/2006/relationships/hyperlink" Target="mailto:GrangerM@bsci.com" TargetMode="External"/><Relationship Id="rId123" Type="http://schemas.openxmlformats.org/officeDocument/2006/relationships/hyperlink" Target="mailto:star_moon4@hotmail.com" TargetMode="External"/><Relationship Id="rId330" Type="http://schemas.openxmlformats.org/officeDocument/2006/relationships/hyperlink" Target="mailto:michaelamandt@yahoo.de" TargetMode="External"/><Relationship Id="rId165" Type="http://schemas.openxmlformats.org/officeDocument/2006/relationships/hyperlink" Target="mailto:gerdenis@wanadoo.fr" TargetMode="External"/><Relationship Id="rId372" Type="http://schemas.openxmlformats.org/officeDocument/2006/relationships/hyperlink" Target="mailto:giesing-wegner@web.de" TargetMode="External"/><Relationship Id="rId428" Type="http://schemas.openxmlformats.org/officeDocument/2006/relationships/hyperlink" Target="mailto:ulf.anja@freenet.de" TargetMode="External"/><Relationship Id="rId232" Type="http://schemas.openxmlformats.org/officeDocument/2006/relationships/hyperlink" Target="mailto:thalinchen75@gmx.de" TargetMode="External"/><Relationship Id="rId274" Type="http://schemas.openxmlformats.org/officeDocument/2006/relationships/hyperlink" Target="mailto:janine@felix-weber.com" TargetMode="External"/><Relationship Id="rId27" Type="http://schemas.openxmlformats.org/officeDocument/2006/relationships/hyperlink" Target="mailto:joerg.parzl@mellinundmellin.de" TargetMode="External"/><Relationship Id="rId69" Type="http://schemas.openxmlformats.org/officeDocument/2006/relationships/hyperlink" Target="mailto:lindner1984@yahoo.de" TargetMode="External"/><Relationship Id="rId134" Type="http://schemas.openxmlformats.org/officeDocument/2006/relationships/hyperlink" Target="mailto:nadia.koesters@gmx.de" TargetMode="External"/><Relationship Id="rId80" Type="http://schemas.openxmlformats.org/officeDocument/2006/relationships/hyperlink" Target="mailto:Kinderhaus-Hauptmann@web.de" TargetMode="External"/><Relationship Id="rId176" Type="http://schemas.openxmlformats.org/officeDocument/2006/relationships/hyperlink" Target="mailto:jens.kromschroeder@web.de" TargetMode="External"/><Relationship Id="rId341" Type="http://schemas.openxmlformats.org/officeDocument/2006/relationships/hyperlink" Target="mailto:beateritter@t-online.de" TargetMode="External"/><Relationship Id="rId383" Type="http://schemas.openxmlformats.org/officeDocument/2006/relationships/hyperlink" Target="mailto:auftrittebert@aol.com" TargetMode="External"/><Relationship Id="rId201" Type="http://schemas.openxmlformats.org/officeDocument/2006/relationships/hyperlink" Target="mailto:sandra@broekmann.de" TargetMode="External"/><Relationship Id="rId243" Type="http://schemas.openxmlformats.org/officeDocument/2006/relationships/hyperlink" Target="mailto:diane.dupont@ml.etat.lu" TargetMode="External"/><Relationship Id="rId285" Type="http://schemas.openxmlformats.org/officeDocument/2006/relationships/hyperlink" Target="mailto:nadine.schuler@uniklinikum-saarland.de" TargetMode="External"/><Relationship Id="rId38" Type="http://schemas.openxmlformats.org/officeDocument/2006/relationships/hyperlink" Target="mailto:minaluni@yahoo.de" TargetMode="External"/><Relationship Id="rId103" Type="http://schemas.openxmlformats.org/officeDocument/2006/relationships/hyperlink" Target="mailto:Pfostenberg@aol.com" TargetMode="External"/><Relationship Id="rId310" Type="http://schemas.openxmlformats.org/officeDocument/2006/relationships/hyperlink" Target="mailto:elke@betten-hausen.de" TargetMode="External"/><Relationship Id="rId91" Type="http://schemas.openxmlformats.org/officeDocument/2006/relationships/hyperlink" Target="mailto:diane.dupont@ml.etat.lu" TargetMode="External"/><Relationship Id="rId145" Type="http://schemas.openxmlformats.org/officeDocument/2006/relationships/hyperlink" Target="mailto:mayon23@gmx.de" TargetMode="External"/><Relationship Id="rId187" Type="http://schemas.openxmlformats.org/officeDocument/2006/relationships/hyperlink" Target="mailto:tierphysio-elber@hotmail.com" TargetMode="External"/><Relationship Id="rId352" Type="http://schemas.openxmlformats.org/officeDocument/2006/relationships/hyperlink" Target="mailto:shochreiter@gmx.de" TargetMode="External"/><Relationship Id="rId394" Type="http://schemas.openxmlformats.org/officeDocument/2006/relationships/hyperlink" Target="mailto:michaelamandt@yahoo.de" TargetMode="External"/><Relationship Id="rId408" Type="http://schemas.openxmlformats.org/officeDocument/2006/relationships/hyperlink" Target="mailto:jens.kromschroeder@web.de" TargetMode="External"/><Relationship Id="rId212" Type="http://schemas.openxmlformats.org/officeDocument/2006/relationships/hyperlink" Target="mailto:rckuhn@web.de" TargetMode="External"/><Relationship Id="rId254" Type="http://schemas.openxmlformats.org/officeDocument/2006/relationships/hyperlink" Target="mailto:giesing-wegner@web.de" TargetMode="External"/><Relationship Id="rId49" Type="http://schemas.openxmlformats.org/officeDocument/2006/relationships/hyperlink" Target="mailto:nadja@schlup.net" TargetMode="External"/><Relationship Id="rId114" Type="http://schemas.openxmlformats.org/officeDocument/2006/relationships/hyperlink" Target="mailto:fg@pflegermais.at" TargetMode="External"/><Relationship Id="rId296" Type="http://schemas.openxmlformats.org/officeDocument/2006/relationships/hyperlink" Target="mailto:sonja.siekkoetter@ewetel.net" TargetMode="External"/><Relationship Id="rId60" Type="http://schemas.openxmlformats.org/officeDocument/2006/relationships/hyperlink" Target="mailto:evanlierde@coldsetprintingpartners.be" TargetMode="External"/><Relationship Id="rId81" Type="http://schemas.openxmlformats.org/officeDocument/2006/relationships/hyperlink" Target="mailto:martindoherr@t-online.de" TargetMode="External"/><Relationship Id="rId135" Type="http://schemas.openxmlformats.org/officeDocument/2006/relationships/hyperlink" Target="mailto:canderslemkens@aol.com" TargetMode="External"/><Relationship Id="rId156" Type="http://schemas.openxmlformats.org/officeDocument/2006/relationships/hyperlink" Target="mailto:shochreiter@gmx.de" TargetMode="External"/><Relationship Id="rId177" Type="http://schemas.openxmlformats.org/officeDocument/2006/relationships/hyperlink" Target="mailto:andreilmes@bluewin.ch" TargetMode="External"/><Relationship Id="rId198" Type="http://schemas.openxmlformats.org/officeDocument/2006/relationships/hyperlink" Target="mailto:diane.dupont@ml.etat.lu" TargetMode="External"/><Relationship Id="rId321" Type="http://schemas.openxmlformats.org/officeDocument/2006/relationships/hyperlink" Target="mailto:fg@pflegermais.at" TargetMode="External"/><Relationship Id="rId342" Type="http://schemas.openxmlformats.org/officeDocument/2006/relationships/hyperlink" Target="mailto:to.m@me.com" TargetMode="External"/><Relationship Id="rId363" Type="http://schemas.openxmlformats.org/officeDocument/2006/relationships/hyperlink" Target="mailto:giesing-wegner@web.de" TargetMode="External"/><Relationship Id="rId384" Type="http://schemas.openxmlformats.org/officeDocument/2006/relationships/hyperlink" Target="mailto:family@schlup.net" TargetMode="External"/><Relationship Id="rId419" Type="http://schemas.openxmlformats.org/officeDocument/2006/relationships/hyperlink" Target="mailto:migy@hotmail.de" TargetMode="External"/><Relationship Id="rId202" Type="http://schemas.openxmlformats.org/officeDocument/2006/relationships/hyperlink" Target="mailto:kmercedes300@aol.com" TargetMode="External"/><Relationship Id="rId223" Type="http://schemas.openxmlformats.org/officeDocument/2006/relationships/hyperlink" Target="mailto:ko_0815@yahoo.de" TargetMode="External"/><Relationship Id="rId244" Type="http://schemas.openxmlformats.org/officeDocument/2006/relationships/hyperlink" Target="mailto:anjaspecht75@googlemail.com" TargetMode="External"/><Relationship Id="rId430" Type="http://schemas.openxmlformats.org/officeDocument/2006/relationships/hyperlink" Target="mailto:kornelia_mrowitzky@web.de" TargetMode="External"/><Relationship Id="rId18" Type="http://schemas.openxmlformats.org/officeDocument/2006/relationships/hyperlink" Target="mailto:cboedecker@arcor.de" TargetMode="External"/><Relationship Id="rId39" Type="http://schemas.openxmlformats.org/officeDocument/2006/relationships/hyperlink" Target="mailto:kiki.tipunch@wanadoo.fr" TargetMode="External"/><Relationship Id="rId265" Type="http://schemas.openxmlformats.org/officeDocument/2006/relationships/hyperlink" Target="mailto:huemer.martina@gmail.com" TargetMode="External"/><Relationship Id="rId286" Type="http://schemas.openxmlformats.org/officeDocument/2006/relationships/hyperlink" Target="mailto:tilo@gmx.de" TargetMode="External"/><Relationship Id="rId50" Type="http://schemas.openxmlformats.org/officeDocument/2006/relationships/hyperlink" Target="mailto:pepin@ensea.fr" TargetMode="External"/><Relationship Id="rId104" Type="http://schemas.openxmlformats.org/officeDocument/2006/relationships/hyperlink" Target="mailto:sandra.smith62@btinternet.com" TargetMode="External"/><Relationship Id="rId125" Type="http://schemas.openxmlformats.org/officeDocument/2006/relationships/hyperlink" Target="mailto:nicole.kuss@stadt.graz.at" TargetMode="External"/><Relationship Id="rId146" Type="http://schemas.openxmlformats.org/officeDocument/2006/relationships/hyperlink" Target="mailto:diane.dupont@ml.etat.lu" TargetMode="External"/><Relationship Id="rId167" Type="http://schemas.openxmlformats.org/officeDocument/2006/relationships/hyperlink" Target="mailto:to.m@me.com" TargetMode="External"/><Relationship Id="rId188" Type="http://schemas.openxmlformats.org/officeDocument/2006/relationships/hyperlink" Target="mailto:wolfgang.reichelt@dekra.com" TargetMode="External"/><Relationship Id="rId311" Type="http://schemas.openxmlformats.org/officeDocument/2006/relationships/hyperlink" Target="mailto:joerg.gottwald@hotmail.de" TargetMode="External"/><Relationship Id="rId332" Type="http://schemas.openxmlformats.org/officeDocument/2006/relationships/hyperlink" Target="mailto:alwin_steiner@gmx.de" TargetMode="External"/><Relationship Id="rId353" Type="http://schemas.openxmlformats.org/officeDocument/2006/relationships/hyperlink" Target="mailto:sanerlucia@gmail.com" TargetMode="External"/><Relationship Id="rId374" Type="http://schemas.openxmlformats.org/officeDocument/2006/relationships/hyperlink" Target="mailto:u.wirth@alowag.ch" TargetMode="External"/><Relationship Id="rId395" Type="http://schemas.openxmlformats.org/officeDocument/2006/relationships/hyperlink" Target="mailto:angelika.mehl@t-online.de" TargetMode="External"/><Relationship Id="rId409" Type="http://schemas.openxmlformats.org/officeDocument/2006/relationships/hyperlink" Target="mailto:s.g.blenk@gmail.com" TargetMode="External"/><Relationship Id="rId71" Type="http://schemas.openxmlformats.org/officeDocument/2006/relationships/hyperlink" Target="mailto:tf.thomasfranke@t-online.de" TargetMode="External"/><Relationship Id="rId92" Type="http://schemas.openxmlformats.org/officeDocument/2006/relationships/hyperlink" Target="mailto:herveplateau1@gmail.com" TargetMode="External"/><Relationship Id="rId213" Type="http://schemas.openxmlformats.org/officeDocument/2006/relationships/hyperlink" Target="mailto:frieder.schaefer@gmx.de" TargetMode="External"/><Relationship Id="rId234" Type="http://schemas.openxmlformats.org/officeDocument/2006/relationships/hyperlink" Target="mailto:s.g.blenk@gmail.com" TargetMode="External"/><Relationship Id="rId420" Type="http://schemas.openxmlformats.org/officeDocument/2006/relationships/hyperlink" Target="mailto:martin.haefner@nexgo.de" TargetMode="External"/><Relationship Id="rId2" Type="http://schemas.openxmlformats.org/officeDocument/2006/relationships/hyperlink" Target="mailto:sebastien.cornu@bluewin.ch" TargetMode="External"/><Relationship Id="rId29" Type="http://schemas.openxmlformats.org/officeDocument/2006/relationships/hyperlink" Target="mailto:rodriguenavlet@hotmail.com" TargetMode="External"/><Relationship Id="rId255" Type="http://schemas.openxmlformats.org/officeDocument/2006/relationships/hyperlink" Target="mailto:familie.tilmann@bluewin.ch" TargetMode="External"/><Relationship Id="rId276" Type="http://schemas.openxmlformats.org/officeDocument/2006/relationships/hyperlink" Target="mailto:jutta.holnburger@gmx.de" TargetMode="External"/><Relationship Id="rId297" Type="http://schemas.openxmlformats.org/officeDocument/2006/relationships/hyperlink" Target="mailto:lindner1984@yahoo.de" TargetMode="External"/><Relationship Id="rId40" Type="http://schemas.openxmlformats.org/officeDocument/2006/relationships/hyperlink" Target="mailto:ed@ip-worldcom.ch" TargetMode="External"/><Relationship Id="rId115" Type="http://schemas.openxmlformats.org/officeDocument/2006/relationships/hyperlink" Target="mailto:rodriguenavlet@hotmail.com" TargetMode="External"/><Relationship Id="rId136" Type="http://schemas.openxmlformats.org/officeDocument/2006/relationships/hyperlink" Target="mailto:sandra@broekmann.de" TargetMode="External"/><Relationship Id="rId157" Type="http://schemas.openxmlformats.org/officeDocument/2006/relationships/hyperlink" Target="mailto:sanerlucia@gmail.com" TargetMode="External"/><Relationship Id="rId178" Type="http://schemas.openxmlformats.org/officeDocument/2006/relationships/hyperlink" Target="mailto:info@hof-luckmann.de" TargetMode="External"/><Relationship Id="rId301" Type="http://schemas.openxmlformats.org/officeDocument/2006/relationships/hyperlink" Target="mailto:sandra@erhart.ch" TargetMode="External"/><Relationship Id="rId322" Type="http://schemas.openxmlformats.org/officeDocument/2006/relationships/hyperlink" Target="mailto:gmmanzi@aol.com" TargetMode="External"/><Relationship Id="rId343" Type="http://schemas.openxmlformats.org/officeDocument/2006/relationships/hyperlink" Target="mailto:mayon23@gmx.de" TargetMode="External"/><Relationship Id="rId364" Type="http://schemas.openxmlformats.org/officeDocument/2006/relationships/hyperlink" Target="mailto:gesa.spike@gmx.de" TargetMode="External"/><Relationship Id="rId61" Type="http://schemas.openxmlformats.org/officeDocument/2006/relationships/hyperlink" Target="mailto:spajean@wanadoo.fr" TargetMode="External"/><Relationship Id="rId82" Type="http://schemas.openxmlformats.org/officeDocument/2006/relationships/hyperlink" Target="mailto:paloma13@gmx.de" TargetMode="External"/><Relationship Id="rId199" Type="http://schemas.openxmlformats.org/officeDocument/2006/relationships/hyperlink" Target="mailto:sandra@rudelwohl-zach.de" TargetMode="External"/><Relationship Id="rId203" Type="http://schemas.openxmlformats.org/officeDocument/2006/relationships/hyperlink" Target="mailto:fg@pflegermais.at" TargetMode="External"/><Relationship Id="rId385" Type="http://schemas.openxmlformats.org/officeDocument/2006/relationships/hyperlink" Target="mailto:diane.dupont@ml.etat.lu" TargetMode="External"/><Relationship Id="rId19" Type="http://schemas.openxmlformats.org/officeDocument/2006/relationships/hyperlink" Target="mailto:rodriguenavlet@hotmail.com" TargetMode="External"/><Relationship Id="rId224" Type="http://schemas.openxmlformats.org/officeDocument/2006/relationships/hyperlink" Target="mailto:stephane.pollino@gmail.com" TargetMode="External"/><Relationship Id="rId245" Type="http://schemas.openxmlformats.org/officeDocument/2006/relationships/hyperlink" Target="mailto:jbrinkmann64@web.de" TargetMode="External"/><Relationship Id="rId266" Type="http://schemas.openxmlformats.org/officeDocument/2006/relationships/hyperlink" Target="mailto:blumen.glantschnig@telfs.com" TargetMode="External"/><Relationship Id="rId287" Type="http://schemas.openxmlformats.org/officeDocument/2006/relationships/hyperlink" Target="mailto:kerri1409@googlemail.com" TargetMode="External"/><Relationship Id="rId410" Type="http://schemas.openxmlformats.org/officeDocument/2006/relationships/hyperlink" Target="mailto:catarina@marpmannonline.de" TargetMode="External"/><Relationship Id="rId431" Type="http://schemas.openxmlformats.org/officeDocument/2006/relationships/hyperlink" Target="mailto:helmut.joe.bergmann@t-online.de" TargetMode="External"/><Relationship Id="rId30" Type="http://schemas.openxmlformats.org/officeDocument/2006/relationships/hyperlink" Target="mailto:pierre.chalard@univ-bpclermont.fr" TargetMode="External"/><Relationship Id="rId105" Type="http://schemas.openxmlformats.org/officeDocument/2006/relationships/hyperlink" Target="mailto:convento@t-online.de" TargetMode="External"/><Relationship Id="rId126" Type="http://schemas.openxmlformats.org/officeDocument/2006/relationships/hyperlink" Target="mailto:frieder.schaefer@gmx.de" TargetMode="External"/><Relationship Id="rId147" Type="http://schemas.openxmlformats.org/officeDocument/2006/relationships/hyperlink" Target="mailto:d.nelle@icloud.com" TargetMode="External"/><Relationship Id="rId168" Type="http://schemas.openxmlformats.org/officeDocument/2006/relationships/hyperlink" Target="mailto:thierry.amirgholami@outlook.de" TargetMode="External"/><Relationship Id="rId312" Type="http://schemas.openxmlformats.org/officeDocument/2006/relationships/hyperlink" Target="mailto:x-oph@gmx.net" TargetMode="External"/><Relationship Id="rId333" Type="http://schemas.openxmlformats.org/officeDocument/2006/relationships/hyperlink" Target="mailto:ingrid.hanisch@freenet.de" TargetMode="External"/><Relationship Id="rId354" Type="http://schemas.openxmlformats.org/officeDocument/2006/relationships/hyperlink" Target="mailto:danysilver812@gmail.com" TargetMode="External"/><Relationship Id="rId51" Type="http://schemas.openxmlformats.org/officeDocument/2006/relationships/hyperlink" Target="mailto:kerri1409@googlemail.com" TargetMode="External"/><Relationship Id="rId72" Type="http://schemas.openxmlformats.org/officeDocument/2006/relationships/hyperlink" Target="mailto:rolland.josee@gmail.com" TargetMode="External"/><Relationship Id="rId93" Type="http://schemas.openxmlformats.org/officeDocument/2006/relationships/hyperlink" Target="mailto:elke@betten-hausen.de" TargetMode="External"/><Relationship Id="rId189" Type="http://schemas.openxmlformats.org/officeDocument/2006/relationships/hyperlink" Target="mailto:skjelsvik@sunrise.ch" TargetMode="External"/><Relationship Id="rId375" Type="http://schemas.openxmlformats.org/officeDocument/2006/relationships/hyperlink" Target="mailto:tierphysio-elber@hotmail.com" TargetMode="External"/><Relationship Id="rId396" Type="http://schemas.openxmlformats.org/officeDocument/2006/relationships/hyperlink" Target="mailto:giesing-wegner@web.de" TargetMode="External"/><Relationship Id="rId3" Type="http://schemas.openxmlformats.org/officeDocument/2006/relationships/hyperlink" Target="mailto:denis.minel@laposte.net" TargetMode="External"/><Relationship Id="rId214" Type="http://schemas.openxmlformats.org/officeDocument/2006/relationships/hyperlink" Target="mailto:to.m@me.com" TargetMode="External"/><Relationship Id="rId235" Type="http://schemas.openxmlformats.org/officeDocument/2006/relationships/hyperlink" Target="mailto:catarina@marpmannonline.de" TargetMode="External"/><Relationship Id="rId256" Type="http://schemas.openxmlformats.org/officeDocument/2006/relationships/hyperlink" Target="mailto:ulf.anja@freenet.de" TargetMode="External"/><Relationship Id="rId277" Type="http://schemas.openxmlformats.org/officeDocument/2006/relationships/hyperlink" Target="mailto:markus.kandels@web.de" TargetMode="External"/><Relationship Id="rId298" Type="http://schemas.openxmlformats.org/officeDocument/2006/relationships/hyperlink" Target="mailto:tf.thomasfranke@t-online.de" TargetMode="External"/><Relationship Id="rId400" Type="http://schemas.openxmlformats.org/officeDocument/2006/relationships/hyperlink" Target="mailto:tanjaS1990@gmx.net" TargetMode="External"/><Relationship Id="rId421" Type="http://schemas.openxmlformats.org/officeDocument/2006/relationships/hyperlink" Target="mailto:fc@licker.de" TargetMode="External"/><Relationship Id="rId116" Type="http://schemas.openxmlformats.org/officeDocument/2006/relationships/hyperlink" Target="mailto:brigittechanteloube@wanadoo.fr" TargetMode="External"/><Relationship Id="rId137" Type="http://schemas.openxmlformats.org/officeDocument/2006/relationships/hyperlink" Target="mailto:faber@freiburger-buchhalter.com" TargetMode="External"/><Relationship Id="rId158" Type="http://schemas.openxmlformats.org/officeDocument/2006/relationships/hyperlink" Target="mailto:danysilver812@gmail.com" TargetMode="External"/><Relationship Id="rId302" Type="http://schemas.openxmlformats.org/officeDocument/2006/relationships/hyperlink" Target="mailto:axelschreiter@yahoo.de" TargetMode="External"/><Relationship Id="rId323" Type="http://schemas.openxmlformats.org/officeDocument/2006/relationships/hyperlink" Target="mailto:katrin.fahr@googlemail.com" TargetMode="External"/><Relationship Id="rId344" Type="http://schemas.openxmlformats.org/officeDocument/2006/relationships/hyperlink" Target="mailto:d.nelle@icloud.com" TargetMode="External"/><Relationship Id="rId20" Type="http://schemas.openxmlformats.org/officeDocument/2006/relationships/hyperlink" Target="mailto:m.moussie@numericable.com" TargetMode="External"/><Relationship Id="rId41" Type="http://schemas.openxmlformats.org/officeDocument/2006/relationships/hyperlink" Target="mailto:andreas.grimm2@web.de" TargetMode="External"/><Relationship Id="rId62" Type="http://schemas.openxmlformats.org/officeDocument/2006/relationships/hyperlink" Target="mailto:marchal@woodfashion.com" TargetMode="External"/><Relationship Id="rId83" Type="http://schemas.openxmlformats.org/officeDocument/2006/relationships/hyperlink" Target="mailto:rainer.wittemann@hotmail.de" TargetMode="External"/><Relationship Id="rId179" Type="http://schemas.openxmlformats.org/officeDocument/2006/relationships/hyperlink" Target="mailto:jules.serrig@gmail.com" TargetMode="External"/><Relationship Id="rId365" Type="http://schemas.openxmlformats.org/officeDocument/2006/relationships/hyperlink" Target="mailto:fc@licker.de" TargetMode="External"/><Relationship Id="rId386" Type="http://schemas.openxmlformats.org/officeDocument/2006/relationships/hyperlink" Target="mailto:sandra@rudelwohl-zach.de" TargetMode="External"/><Relationship Id="rId190" Type="http://schemas.openxmlformats.org/officeDocument/2006/relationships/hyperlink" Target="mailto:u.wirth@alowag.ch" TargetMode="External"/><Relationship Id="rId204" Type="http://schemas.openxmlformats.org/officeDocument/2006/relationships/hyperlink" Target="mailto:rodriguenavlet@hotmail.com" TargetMode="External"/><Relationship Id="rId225" Type="http://schemas.openxmlformats.org/officeDocument/2006/relationships/hyperlink" Target="mailto:tanjaS1990@gmx.net" TargetMode="External"/><Relationship Id="rId246" Type="http://schemas.openxmlformats.org/officeDocument/2006/relationships/hyperlink" Target="mailto:w.heimb&#252;chel@t-online.de" TargetMode="External"/><Relationship Id="rId267" Type="http://schemas.openxmlformats.org/officeDocument/2006/relationships/hyperlink" Target="mailto:reinhardt@osw-eschbach.de" TargetMode="External"/><Relationship Id="rId288" Type="http://schemas.openxmlformats.org/officeDocument/2006/relationships/hyperlink" Target="mailto:eifelinfo@t-online.de" TargetMode="External"/><Relationship Id="rId411" Type="http://schemas.openxmlformats.org/officeDocument/2006/relationships/hyperlink" Target="mailto:info@ipe-ingenieure.de" TargetMode="External"/><Relationship Id="rId432" Type="http://schemas.openxmlformats.org/officeDocument/2006/relationships/hyperlink" Target="mailto:pethei@msn.com" TargetMode="External"/><Relationship Id="rId106" Type="http://schemas.openxmlformats.org/officeDocument/2006/relationships/hyperlink" Target="mailto:nanton@pt.lu" TargetMode="External"/><Relationship Id="rId127" Type="http://schemas.openxmlformats.org/officeDocument/2006/relationships/hyperlink" Target="mailto:to.m@me.com" TargetMode="External"/><Relationship Id="rId313" Type="http://schemas.openxmlformats.org/officeDocument/2006/relationships/hyperlink" Target="mailto:wegwart@web.de" TargetMode="External"/><Relationship Id="rId10" Type="http://schemas.openxmlformats.org/officeDocument/2006/relationships/hyperlink" Target="mailto:mascha@blatow.de" TargetMode="External"/><Relationship Id="rId31" Type="http://schemas.openxmlformats.org/officeDocument/2006/relationships/hyperlink" Target="mailto:gaelle7801@live.fr" TargetMode="External"/><Relationship Id="rId52" Type="http://schemas.openxmlformats.org/officeDocument/2006/relationships/hyperlink" Target="mailto:larmadio@wanadoo.fr" TargetMode="External"/><Relationship Id="rId73" Type="http://schemas.openxmlformats.org/officeDocument/2006/relationships/hyperlink" Target="mailto:silvio_kell@yahoo.de" TargetMode="External"/><Relationship Id="rId94" Type="http://schemas.openxmlformats.org/officeDocument/2006/relationships/hyperlink" Target="mailto:brendaruck@zeelandnet.nl" TargetMode="External"/><Relationship Id="rId148" Type="http://schemas.openxmlformats.org/officeDocument/2006/relationships/hyperlink" Target="mailto:ronmeier@zeelandnet.nl" TargetMode="External"/><Relationship Id="rId169" Type="http://schemas.openxmlformats.org/officeDocument/2006/relationships/hyperlink" Target="mailto:zazoo382003@yahoo.de" TargetMode="External"/><Relationship Id="rId334" Type="http://schemas.openxmlformats.org/officeDocument/2006/relationships/hyperlink" Target="mailto:markuspalm@hotmail.de" TargetMode="External"/><Relationship Id="rId355" Type="http://schemas.openxmlformats.org/officeDocument/2006/relationships/hyperlink" Target="mailto:david.mueller@gmx.org" TargetMode="External"/><Relationship Id="rId376" Type="http://schemas.openxmlformats.org/officeDocument/2006/relationships/hyperlink" Target="mailto:wolfgang.reichelt@dekra.com" TargetMode="External"/><Relationship Id="rId397" Type="http://schemas.openxmlformats.org/officeDocument/2006/relationships/hyperlink" Target="mailto:naiwreb@aol.com" TargetMode="External"/><Relationship Id="rId4" Type="http://schemas.openxmlformats.org/officeDocument/2006/relationships/hyperlink" Target="mailto:wallnergmbh@t-online.de" TargetMode="External"/><Relationship Id="rId180" Type="http://schemas.openxmlformats.org/officeDocument/2006/relationships/hyperlink" Target="mailto:ja@bildhaus.ch" TargetMode="External"/><Relationship Id="rId215" Type="http://schemas.openxmlformats.org/officeDocument/2006/relationships/hyperlink" Target="mailto:michaelamandt@yahoo.de" TargetMode="External"/><Relationship Id="rId236" Type="http://schemas.openxmlformats.org/officeDocument/2006/relationships/hyperlink" Target="mailto:info@ipe-ingenieure.de" TargetMode="External"/><Relationship Id="rId257" Type="http://schemas.openxmlformats.org/officeDocument/2006/relationships/hyperlink" Target="mailto:marc.feyenklassen@gmail.com" TargetMode="External"/><Relationship Id="rId278" Type="http://schemas.openxmlformats.org/officeDocument/2006/relationships/hyperlink" Target="mailto:peter.seuss@googlemail.com" TargetMode="External"/><Relationship Id="rId401" Type="http://schemas.openxmlformats.org/officeDocument/2006/relationships/hyperlink" Target="mailto:to.m@me.com" TargetMode="External"/><Relationship Id="rId422" Type="http://schemas.openxmlformats.org/officeDocument/2006/relationships/hyperlink" Target="mailto:alexacgn@gmail.com" TargetMode="External"/><Relationship Id="rId303" Type="http://schemas.openxmlformats.org/officeDocument/2006/relationships/hyperlink" Target="mailto:N.koeninger@web.de" TargetMode="External"/><Relationship Id="rId42" Type="http://schemas.openxmlformats.org/officeDocument/2006/relationships/hyperlink" Target="mailto:m.sander@elektrobartels.de" TargetMode="External"/><Relationship Id="rId84" Type="http://schemas.openxmlformats.org/officeDocument/2006/relationships/hyperlink" Target="mailto:dinouardnadie@hotmail.fr" TargetMode="External"/><Relationship Id="rId138" Type="http://schemas.openxmlformats.org/officeDocument/2006/relationships/hyperlink" Target="mailto:stef-heinrich@web.de" TargetMode="External"/><Relationship Id="rId345" Type="http://schemas.openxmlformats.org/officeDocument/2006/relationships/hyperlink" Target="mailto:ludovicthebault@yahoo.com" TargetMode="External"/><Relationship Id="rId387" Type="http://schemas.openxmlformats.org/officeDocument/2006/relationships/hyperlink" Target="mailto:k.nemeth24@googlemail.com" TargetMode="External"/><Relationship Id="rId191" Type="http://schemas.openxmlformats.org/officeDocument/2006/relationships/hyperlink" Target="mailto:ursstirnemann@bluewin.ch" TargetMode="External"/><Relationship Id="rId205" Type="http://schemas.openxmlformats.org/officeDocument/2006/relationships/hyperlink" Target="mailto:brigittechanteloube@wanadoo.fr" TargetMode="External"/><Relationship Id="rId247" Type="http://schemas.openxmlformats.org/officeDocument/2006/relationships/hyperlink" Target="mailto:migy@hotmail.de" TargetMode="External"/><Relationship Id="rId412" Type="http://schemas.openxmlformats.org/officeDocument/2006/relationships/hyperlink" Target="mailto:beatebelz@gmx.de" TargetMode="External"/><Relationship Id="rId107" Type="http://schemas.openxmlformats.org/officeDocument/2006/relationships/hyperlink" Target="mailto:jhugow@snafu.de" TargetMode="External"/><Relationship Id="rId289" Type="http://schemas.openxmlformats.org/officeDocument/2006/relationships/hyperlink" Target="mailto:ingrid.hanisch@freenet.de" TargetMode="External"/><Relationship Id="rId11" Type="http://schemas.openxmlformats.org/officeDocument/2006/relationships/hyperlink" Target="mailto:mic.ti@orange.fr" TargetMode="External"/><Relationship Id="rId53" Type="http://schemas.openxmlformats.org/officeDocument/2006/relationships/hyperlink" Target="mailto:eifelinfo@t-online.de" TargetMode="External"/><Relationship Id="rId149" Type="http://schemas.openxmlformats.org/officeDocument/2006/relationships/hyperlink" Target="mailto:ludovicthebault@yahoo.com" TargetMode="External"/><Relationship Id="rId314" Type="http://schemas.openxmlformats.org/officeDocument/2006/relationships/hyperlink" Target="mailto:Pfostenberg@aol.com" TargetMode="External"/><Relationship Id="rId356" Type="http://schemas.openxmlformats.org/officeDocument/2006/relationships/hyperlink" Target="mailto:joachim.kleist@gmx.net" TargetMode="External"/><Relationship Id="rId398" Type="http://schemas.openxmlformats.org/officeDocument/2006/relationships/hyperlink" Target="mailto:beatebelz@gmx.de" TargetMode="External"/><Relationship Id="rId95" Type="http://schemas.openxmlformats.org/officeDocument/2006/relationships/hyperlink" Target="mailto:joerg.gottwald@hotmail.de" TargetMode="External"/><Relationship Id="rId160" Type="http://schemas.openxmlformats.org/officeDocument/2006/relationships/hyperlink" Target="mailto:joachim.kleist@gmx.net" TargetMode="External"/><Relationship Id="rId216" Type="http://schemas.openxmlformats.org/officeDocument/2006/relationships/hyperlink" Target="mailto:marielayes@orange.fr" TargetMode="External"/><Relationship Id="rId423" Type="http://schemas.openxmlformats.org/officeDocument/2006/relationships/hyperlink" Target="mailto:helmut.joe.bergmann@t-online.de" TargetMode="External"/><Relationship Id="rId258" Type="http://schemas.openxmlformats.org/officeDocument/2006/relationships/hyperlink" Target="mailto:ublatz@blatz-kunststoffwerk.de" TargetMode="External"/><Relationship Id="rId22" Type="http://schemas.openxmlformats.org/officeDocument/2006/relationships/hyperlink" Target="mailto:markus.kandels@web.de" TargetMode="External"/><Relationship Id="rId64" Type="http://schemas.openxmlformats.org/officeDocument/2006/relationships/hyperlink" Target="mailto:erwanhubert@free.fr" TargetMode="External"/><Relationship Id="rId118" Type="http://schemas.openxmlformats.org/officeDocument/2006/relationships/hyperlink" Target="mailto:gmmanzi@aol.com" TargetMode="External"/><Relationship Id="rId325" Type="http://schemas.openxmlformats.org/officeDocument/2006/relationships/hyperlink" Target="mailto:star_moon4@hotmail.com" TargetMode="External"/><Relationship Id="rId367" Type="http://schemas.openxmlformats.org/officeDocument/2006/relationships/hyperlink" Target="mailto:andreilmes@bluewin.ch" TargetMode="External"/><Relationship Id="rId171" Type="http://schemas.openxmlformats.org/officeDocument/2006/relationships/hyperlink" Target="mailto:nadja@auraseta.ch" TargetMode="External"/><Relationship Id="rId227" Type="http://schemas.openxmlformats.org/officeDocument/2006/relationships/hyperlink" Target="mailto:unglaub@arcor.de" TargetMode="External"/><Relationship Id="rId269" Type="http://schemas.openxmlformats.org/officeDocument/2006/relationships/hyperlink" Target="mailto:BeateSchweitzer@hotmail.com" TargetMode="External"/><Relationship Id="rId434" Type="http://schemas.openxmlformats.org/officeDocument/2006/relationships/hyperlink" Target="mailto:jens.kromschroeder@web.de" TargetMode="External"/><Relationship Id="rId33" Type="http://schemas.openxmlformats.org/officeDocument/2006/relationships/hyperlink" Target="mailto:christiane.schmitzberger@numericable.fr" TargetMode="External"/><Relationship Id="rId129" Type="http://schemas.openxmlformats.org/officeDocument/2006/relationships/hyperlink" Target="mailto:joyo67_04@yahoo.com" TargetMode="External"/><Relationship Id="rId280" Type="http://schemas.openxmlformats.org/officeDocument/2006/relationships/hyperlink" Target="mailto:bettina.ri@t-online.de" TargetMode="External"/><Relationship Id="rId336" Type="http://schemas.openxmlformats.org/officeDocument/2006/relationships/hyperlink" Target="mailto:canderslemkens@aol.com" TargetMode="External"/><Relationship Id="rId75" Type="http://schemas.openxmlformats.org/officeDocument/2006/relationships/hyperlink" Target="mailto:sandra@erhart.ch" TargetMode="External"/><Relationship Id="rId140" Type="http://schemas.openxmlformats.org/officeDocument/2006/relationships/hyperlink" Target="mailto:ryser.ittigen@bluewin.ch" TargetMode="External"/><Relationship Id="rId182" Type="http://schemas.openxmlformats.org/officeDocument/2006/relationships/hyperlink" Target="mailto:ralt@swiss.com" TargetMode="External"/><Relationship Id="rId378" Type="http://schemas.openxmlformats.org/officeDocument/2006/relationships/hyperlink" Target="mailto:u.wirth@alowag.ch" TargetMode="External"/><Relationship Id="rId403" Type="http://schemas.openxmlformats.org/officeDocument/2006/relationships/hyperlink" Target="mailto:jens.kromschroeder@web.de" TargetMode="External"/><Relationship Id="rId6" Type="http://schemas.openxmlformats.org/officeDocument/2006/relationships/hyperlink" Target="mailto:coccinelle60@gmail.com" TargetMode="External"/><Relationship Id="rId238" Type="http://schemas.openxmlformats.org/officeDocument/2006/relationships/hyperlink" Target="mailto:beatebelz@gmx.de" TargetMode="External"/><Relationship Id="rId291" Type="http://schemas.openxmlformats.org/officeDocument/2006/relationships/hyperlink" Target="mailto:christiansen@bk-erkelenz.de" TargetMode="External"/><Relationship Id="rId305" Type="http://schemas.openxmlformats.org/officeDocument/2006/relationships/hyperlink" Target="mailto:martindoherr@t-online.de" TargetMode="External"/><Relationship Id="rId347" Type="http://schemas.openxmlformats.org/officeDocument/2006/relationships/hyperlink" Target="mailto:tamara.d.hersperger@gmail.com" TargetMode="External"/><Relationship Id="rId44" Type="http://schemas.openxmlformats.org/officeDocument/2006/relationships/hyperlink" Target="mailto:duchenenicola@yahoo.fr" TargetMode="External"/><Relationship Id="rId86" Type="http://schemas.openxmlformats.org/officeDocument/2006/relationships/hyperlink" Target="mailto:peggy.wolsfeld@education.lu" TargetMode="External"/><Relationship Id="rId151" Type="http://schemas.openxmlformats.org/officeDocument/2006/relationships/hyperlink" Target="mailto:tamara.d.hersperger@gmail.com" TargetMode="External"/><Relationship Id="rId389" Type="http://schemas.openxmlformats.org/officeDocument/2006/relationships/hyperlink" Target="mailto:fg@pflegermais.at" TargetMode="External"/><Relationship Id="rId193" Type="http://schemas.openxmlformats.org/officeDocument/2006/relationships/hyperlink" Target="mailto:didier.priolet@free.fr" TargetMode="External"/><Relationship Id="rId207" Type="http://schemas.openxmlformats.org/officeDocument/2006/relationships/hyperlink" Target="mailto:katrin.fahr@googlemail.com" TargetMode="External"/><Relationship Id="rId249" Type="http://schemas.openxmlformats.org/officeDocument/2006/relationships/hyperlink" Target="mailto:fc@licker.de" TargetMode="External"/><Relationship Id="rId414" Type="http://schemas.openxmlformats.org/officeDocument/2006/relationships/hyperlink" Target="mailto:c-pelz@web.de" TargetMode="External"/><Relationship Id="rId13" Type="http://schemas.openxmlformats.org/officeDocument/2006/relationships/hyperlink" Target="mailto:mangold.lth@arcor.de" TargetMode="External"/><Relationship Id="rId109" Type="http://schemas.openxmlformats.org/officeDocument/2006/relationships/hyperlink" Target="mailto:diane.dupont@ml.etat.lu" TargetMode="External"/><Relationship Id="rId260" Type="http://schemas.openxmlformats.org/officeDocument/2006/relationships/hyperlink" Target="mailto:helmut.joe.bergmann@t-online.de" TargetMode="External"/><Relationship Id="rId316" Type="http://schemas.openxmlformats.org/officeDocument/2006/relationships/hyperlink" Target="mailto:jhugow@snafu.de" TargetMode="External"/><Relationship Id="rId55" Type="http://schemas.openxmlformats.org/officeDocument/2006/relationships/hyperlink" Target="mailto:davidb39@hotmail.fr" TargetMode="External"/><Relationship Id="rId97" Type="http://schemas.openxmlformats.org/officeDocument/2006/relationships/hyperlink" Target="mailto:nathalie.bourson@education.lu" TargetMode="External"/><Relationship Id="rId120" Type="http://schemas.openxmlformats.org/officeDocument/2006/relationships/hyperlink" Target="mailto:moreaulaurence@free.fr" TargetMode="External"/><Relationship Id="rId358" Type="http://schemas.openxmlformats.org/officeDocument/2006/relationships/hyperlink" Target="mailto:manuelakill@gmx.de" TargetMode="External"/><Relationship Id="rId162" Type="http://schemas.openxmlformats.org/officeDocument/2006/relationships/hyperlink" Target="mailto:marc.dewasme@wanadoo.fr" TargetMode="External"/><Relationship Id="rId218" Type="http://schemas.openxmlformats.org/officeDocument/2006/relationships/hyperlink" Target="mailto:martine.geib@education.lu" TargetMode="External"/><Relationship Id="rId425" Type="http://schemas.openxmlformats.org/officeDocument/2006/relationships/hyperlink" Target="mailto:to.m@me.com" TargetMode="External"/><Relationship Id="rId271" Type="http://schemas.openxmlformats.org/officeDocument/2006/relationships/hyperlink" Target="mailto:b.meyer-lueters@videx.de" TargetMode="External"/><Relationship Id="rId24" Type="http://schemas.openxmlformats.org/officeDocument/2006/relationships/hyperlink" Target="mailto:pepin@ensea.fr" TargetMode="External"/><Relationship Id="rId66" Type="http://schemas.openxmlformats.org/officeDocument/2006/relationships/hyperlink" Target="mailto:nadja@schlup.net" TargetMode="External"/><Relationship Id="rId131" Type="http://schemas.openxmlformats.org/officeDocument/2006/relationships/hyperlink" Target="mailto:diane.dupont@ml.etat.lu" TargetMode="External"/><Relationship Id="rId327" Type="http://schemas.openxmlformats.org/officeDocument/2006/relationships/hyperlink" Target="mailto:nicole.kuss@stadt.graz.at" TargetMode="External"/><Relationship Id="rId369" Type="http://schemas.openxmlformats.org/officeDocument/2006/relationships/hyperlink" Target="mailto:ja@bildhaus.ch" TargetMode="External"/><Relationship Id="rId173" Type="http://schemas.openxmlformats.org/officeDocument/2006/relationships/hyperlink" Target="mailto:giesing-wegner@web.de" TargetMode="External"/><Relationship Id="rId229" Type="http://schemas.openxmlformats.org/officeDocument/2006/relationships/hyperlink" Target="mailto:steinmetzdirk@yahoo.de" TargetMode="External"/><Relationship Id="rId380" Type="http://schemas.openxmlformats.org/officeDocument/2006/relationships/hyperlink" Target="mailto:jhammerschmied@outlook.com" TargetMode="External"/><Relationship Id="rId436" Type="http://schemas.openxmlformats.org/officeDocument/2006/relationships/hyperlink" Target="mailto:huemer.martina@gmail.com" TargetMode="External"/><Relationship Id="rId240" Type="http://schemas.openxmlformats.org/officeDocument/2006/relationships/hyperlink" Target="mailto:jeanna@mail.ch" TargetMode="External"/><Relationship Id="rId35" Type="http://schemas.openxmlformats.org/officeDocument/2006/relationships/hyperlink" Target="mailto:ghieronimus@live.fr" TargetMode="External"/><Relationship Id="rId77" Type="http://schemas.openxmlformats.org/officeDocument/2006/relationships/hyperlink" Target="mailto:christele.mace@numericable.fr" TargetMode="External"/><Relationship Id="rId100" Type="http://schemas.openxmlformats.org/officeDocument/2006/relationships/hyperlink" Target="mailto:hortense.everett@gmail.com" TargetMode="External"/><Relationship Id="rId282" Type="http://schemas.openxmlformats.org/officeDocument/2006/relationships/hyperlink" Target="mailto:guenterkrauch@web.de" TargetMode="External"/><Relationship Id="rId338" Type="http://schemas.openxmlformats.org/officeDocument/2006/relationships/hyperlink" Target="mailto:faber@freiburger-buchhalter.com" TargetMode="External"/><Relationship Id="rId8" Type="http://schemas.openxmlformats.org/officeDocument/2006/relationships/hyperlink" Target="mailto:b.meyer-lueters@videx.de" TargetMode="External"/><Relationship Id="rId142" Type="http://schemas.openxmlformats.org/officeDocument/2006/relationships/hyperlink" Target="mailto:lara.kass@gmail.com" TargetMode="External"/><Relationship Id="rId184" Type="http://schemas.openxmlformats.org/officeDocument/2006/relationships/hyperlink" Target="mailto:tanjaS1990@gmx.net" TargetMode="External"/><Relationship Id="rId391" Type="http://schemas.openxmlformats.org/officeDocument/2006/relationships/hyperlink" Target="mailto:gmmanzi@aol.com" TargetMode="External"/><Relationship Id="rId405" Type="http://schemas.openxmlformats.org/officeDocument/2006/relationships/hyperlink" Target="mailto:lena.holzschuh33@gmail.com" TargetMode="External"/><Relationship Id="rId251" Type="http://schemas.openxmlformats.org/officeDocument/2006/relationships/hyperlink" Target="mailto:helmut.joe.bergmann@t-online.de" TargetMode="External"/><Relationship Id="rId46" Type="http://schemas.openxmlformats.org/officeDocument/2006/relationships/hyperlink" Target="mailto:nadine.schuler@uniklinikum-saarland.de" TargetMode="External"/><Relationship Id="rId293" Type="http://schemas.openxmlformats.org/officeDocument/2006/relationships/hyperlink" Target="mailto:niegengerd@hotmail.com" TargetMode="External"/><Relationship Id="rId307" Type="http://schemas.openxmlformats.org/officeDocument/2006/relationships/hyperlink" Target="mailto:rainer.wittemann@hotmail.de" TargetMode="External"/><Relationship Id="rId349" Type="http://schemas.openxmlformats.org/officeDocument/2006/relationships/hyperlink" Target="mailto:luna8311@googlemail.com" TargetMode="External"/><Relationship Id="rId88" Type="http://schemas.openxmlformats.org/officeDocument/2006/relationships/hyperlink" Target="mailto:astrigl@gmx.de" TargetMode="External"/><Relationship Id="rId111" Type="http://schemas.openxmlformats.org/officeDocument/2006/relationships/hyperlink" Target="mailto:k.nemeth24@googlemail.com" TargetMode="External"/><Relationship Id="rId153" Type="http://schemas.openxmlformats.org/officeDocument/2006/relationships/hyperlink" Target="mailto:luna8311@googlemail.com" TargetMode="External"/><Relationship Id="rId195" Type="http://schemas.openxmlformats.org/officeDocument/2006/relationships/hyperlink" Target="mailto:eva@allartz.de" TargetMode="External"/><Relationship Id="rId209" Type="http://schemas.openxmlformats.org/officeDocument/2006/relationships/hyperlink" Target="mailto:f.hain@gmx.de" TargetMode="External"/><Relationship Id="rId360" Type="http://schemas.openxmlformats.org/officeDocument/2006/relationships/hyperlink" Target="mailto:to.m@me.com" TargetMode="External"/><Relationship Id="rId416" Type="http://schemas.openxmlformats.org/officeDocument/2006/relationships/hyperlink" Target="mailto:anjaspecht75@googlemail.com" TargetMode="External"/><Relationship Id="rId220" Type="http://schemas.openxmlformats.org/officeDocument/2006/relationships/hyperlink" Target="mailto:giesing-wegner@web.de" TargetMode="External"/><Relationship Id="rId15" Type="http://schemas.openxmlformats.org/officeDocument/2006/relationships/hyperlink" Target="mailto:christina.gerberding@t-online.de" TargetMode="External"/><Relationship Id="rId57" Type="http://schemas.openxmlformats.org/officeDocument/2006/relationships/hyperlink" Target="mailto:tmuellerteufel@email.de" TargetMode="External"/><Relationship Id="rId262" Type="http://schemas.openxmlformats.org/officeDocument/2006/relationships/hyperlink" Target="mailto:andreilmes@bluewin.ch" TargetMode="External"/><Relationship Id="rId318" Type="http://schemas.openxmlformats.org/officeDocument/2006/relationships/hyperlink" Target="mailto:k.nemeth24@googlemail.com" TargetMode="External"/><Relationship Id="rId99" Type="http://schemas.openxmlformats.org/officeDocument/2006/relationships/hyperlink" Target="mailto:erwanhubert@free.fr" TargetMode="External"/><Relationship Id="rId122" Type="http://schemas.openxmlformats.org/officeDocument/2006/relationships/hyperlink" Target="mailto:asurbeck@t-online.de" TargetMode="External"/><Relationship Id="rId164" Type="http://schemas.openxmlformats.org/officeDocument/2006/relationships/hyperlink" Target="mailto:rodriguenavlet@hotmail.com" TargetMode="External"/><Relationship Id="rId371" Type="http://schemas.openxmlformats.org/officeDocument/2006/relationships/hyperlink" Target="mailto:ralt@swiss.com" TargetMode="External"/><Relationship Id="rId427" Type="http://schemas.openxmlformats.org/officeDocument/2006/relationships/hyperlink" Target="mailto:familie.tilmann@bluewin.ch" TargetMode="External"/><Relationship Id="rId26" Type="http://schemas.openxmlformats.org/officeDocument/2006/relationships/hyperlink" Target="mailto:bettina.ri@t-online.de" TargetMode="External"/><Relationship Id="rId231" Type="http://schemas.openxmlformats.org/officeDocument/2006/relationships/hyperlink" Target="mailto:mgecko72@gmail.com" TargetMode="External"/><Relationship Id="rId273" Type="http://schemas.openxmlformats.org/officeDocument/2006/relationships/hyperlink" Target="mailto:christina.gerberding@t-online.de" TargetMode="External"/><Relationship Id="rId329" Type="http://schemas.openxmlformats.org/officeDocument/2006/relationships/hyperlink" Target="mailto:to.m@me.com" TargetMode="External"/><Relationship Id="rId68" Type="http://schemas.openxmlformats.org/officeDocument/2006/relationships/hyperlink" Target="mailto:sonja.siekkoetter@ewetel.net" TargetMode="External"/><Relationship Id="rId133" Type="http://schemas.openxmlformats.org/officeDocument/2006/relationships/hyperlink" Target="mailto:markuspalm@hotmail.de" TargetMode="External"/><Relationship Id="rId175" Type="http://schemas.openxmlformats.org/officeDocument/2006/relationships/hyperlink" Target="mailto:fc@licker.de" TargetMode="External"/><Relationship Id="rId340" Type="http://schemas.openxmlformats.org/officeDocument/2006/relationships/hyperlink" Target="mailto:anny_393@gmx.at" TargetMode="External"/><Relationship Id="rId200" Type="http://schemas.openxmlformats.org/officeDocument/2006/relationships/hyperlink" Target="mailto:k.nemeth24@googlemail.com" TargetMode="External"/><Relationship Id="rId382" Type="http://schemas.openxmlformats.org/officeDocument/2006/relationships/hyperlink" Target="mailto:eva@allartz.de" TargetMode="External"/><Relationship Id="rId242" Type="http://schemas.openxmlformats.org/officeDocument/2006/relationships/hyperlink" Target="mailto:martin020489@s215275543.online.de" TargetMode="External"/><Relationship Id="rId284" Type="http://schemas.openxmlformats.org/officeDocument/2006/relationships/hyperlink" Target="mailto:m.sander@elektrobartels.de" TargetMode="External"/><Relationship Id="rId37" Type="http://schemas.openxmlformats.org/officeDocument/2006/relationships/hyperlink" Target="mailto:guenterkrauch@web.de" TargetMode="External"/><Relationship Id="rId79" Type="http://schemas.openxmlformats.org/officeDocument/2006/relationships/hyperlink" Target="mailto:N.koeninger@web.de" TargetMode="External"/><Relationship Id="rId102" Type="http://schemas.openxmlformats.org/officeDocument/2006/relationships/hyperlink" Target="mailto:amillet7@wanadoo.fr" TargetMode="External"/><Relationship Id="rId144" Type="http://schemas.openxmlformats.org/officeDocument/2006/relationships/hyperlink" Target="mailto:to.m@me.com" TargetMode="External"/><Relationship Id="rId90" Type="http://schemas.openxmlformats.org/officeDocument/2006/relationships/hyperlink" Target="mailto:odilecarlier@orange.fr" TargetMode="External"/><Relationship Id="rId186" Type="http://schemas.openxmlformats.org/officeDocument/2006/relationships/hyperlink" Target="mailto:u.wirth@alowag.ch" TargetMode="External"/><Relationship Id="rId351" Type="http://schemas.openxmlformats.org/officeDocument/2006/relationships/hyperlink" Target="mailto:zobjackm@yahoo.de" TargetMode="External"/><Relationship Id="rId393" Type="http://schemas.openxmlformats.org/officeDocument/2006/relationships/hyperlink" Target="mailto:rckuhn@web.de" TargetMode="External"/><Relationship Id="rId407" Type="http://schemas.openxmlformats.org/officeDocument/2006/relationships/hyperlink" Target="mailto:thalinchen75@gmx.de" TargetMode="External"/><Relationship Id="rId211" Type="http://schemas.openxmlformats.org/officeDocument/2006/relationships/hyperlink" Target="mailto:star_moon4@hotmail.com" TargetMode="External"/><Relationship Id="rId253" Type="http://schemas.openxmlformats.org/officeDocument/2006/relationships/hyperlink" Target="mailto:to.m@me.com" TargetMode="External"/><Relationship Id="rId295" Type="http://schemas.openxmlformats.org/officeDocument/2006/relationships/hyperlink" Target="mailto:c.urban@hamburg.de" TargetMode="External"/><Relationship Id="rId309" Type="http://schemas.openxmlformats.org/officeDocument/2006/relationships/hyperlink" Target="mailto:astrigl@gmx.de" TargetMode="External"/><Relationship Id="rId48" Type="http://schemas.openxmlformats.org/officeDocument/2006/relationships/hyperlink" Target="mailto:tilo@gmx.de" TargetMode="External"/><Relationship Id="rId113" Type="http://schemas.openxmlformats.org/officeDocument/2006/relationships/hyperlink" Target="mailto:kmercedes300@aol.com" TargetMode="External"/><Relationship Id="rId320" Type="http://schemas.openxmlformats.org/officeDocument/2006/relationships/hyperlink" Target="mailto:kmercedes300@aol.com" TargetMode="External"/><Relationship Id="rId155" Type="http://schemas.openxmlformats.org/officeDocument/2006/relationships/hyperlink" Target="mailto:zobjackm@yahoo.de" TargetMode="External"/><Relationship Id="rId197" Type="http://schemas.openxmlformats.org/officeDocument/2006/relationships/hyperlink" Target="mailto:family@schlup.net" TargetMode="External"/><Relationship Id="rId362" Type="http://schemas.openxmlformats.org/officeDocument/2006/relationships/hyperlink" Target="mailto:hannelore.hornig@boekenhorst.de" TargetMode="External"/><Relationship Id="rId418" Type="http://schemas.openxmlformats.org/officeDocument/2006/relationships/hyperlink" Target="mailto:w.heimb&#252;chel@t-online.de" TargetMode="External"/><Relationship Id="rId222" Type="http://schemas.openxmlformats.org/officeDocument/2006/relationships/hyperlink" Target="mailto:beatebelz@gmx.de" TargetMode="External"/><Relationship Id="rId264" Type="http://schemas.openxmlformats.org/officeDocument/2006/relationships/hyperlink" Target="mailto:claudia101175@yahoo.de" TargetMode="External"/><Relationship Id="rId17" Type="http://schemas.openxmlformats.org/officeDocument/2006/relationships/hyperlink" Target="mailto:hula1@intergga.ch" TargetMode="External"/><Relationship Id="rId59" Type="http://schemas.openxmlformats.org/officeDocument/2006/relationships/hyperlink" Target="mailto:christiansen@bk-erkelenz.de" TargetMode="External"/><Relationship Id="rId124" Type="http://schemas.openxmlformats.org/officeDocument/2006/relationships/hyperlink" Target="mailto:rckuhn@web.de" TargetMode="External"/><Relationship Id="rId70" Type="http://schemas.openxmlformats.org/officeDocument/2006/relationships/hyperlink" Target="mailto:sylvie.vla@live.com" TargetMode="External"/><Relationship Id="rId166" Type="http://schemas.openxmlformats.org/officeDocument/2006/relationships/hyperlink" Target="mailto:tanjaS1990@gmx.net" TargetMode="External"/><Relationship Id="rId331" Type="http://schemas.openxmlformats.org/officeDocument/2006/relationships/hyperlink" Target="mailto:joyo67_04@yahoo.com" TargetMode="External"/><Relationship Id="rId373" Type="http://schemas.openxmlformats.org/officeDocument/2006/relationships/hyperlink" Target="mailto:tanjaS1990@gmx.net" TargetMode="External"/><Relationship Id="rId429" Type="http://schemas.openxmlformats.org/officeDocument/2006/relationships/hyperlink" Target="mailto:ublatz@blatz-kunststoffwerk.de" TargetMode="External"/><Relationship Id="rId1" Type="http://schemas.openxmlformats.org/officeDocument/2006/relationships/hyperlink" Target="mailto:reinhardt@osw-eschbach.de" TargetMode="External"/><Relationship Id="rId233" Type="http://schemas.openxmlformats.org/officeDocument/2006/relationships/hyperlink" Target="mailto:jens.kromschroeder@web.de" TargetMode="External"/><Relationship Id="rId28" Type="http://schemas.openxmlformats.org/officeDocument/2006/relationships/hyperlink" Target="mailto:mruethy@bluewin.ch" TargetMode="External"/><Relationship Id="rId275" Type="http://schemas.openxmlformats.org/officeDocument/2006/relationships/hyperlink" Target="mailto:cboedecker@arcor.de" TargetMode="External"/><Relationship Id="rId300" Type="http://schemas.openxmlformats.org/officeDocument/2006/relationships/hyperlink" Target="mailto:kuppler2@t-online.de" TargetMode="External"/></Relationships>
</file>

<file path=xl/worksheets/_rels/sheet19.xml.rels><?xml version="1.0" encoding="UTF-8" standalone="yes"?>
<Relationships xmlns="http://schemas.openxmlformats.org/package/2006/relationships"><Relationship Id="rId26" Type="http://schemas.openxmlformats.org/officeDocument/2006/relationships/hyperlink" Target="mailto:olafgerber1@web.de" TargetMode="External"/><Relationship Id="rId21" Type="http://schemas.openxmlformats.org/officeDocument/2006/relationships/hyperlink" Target="mailto:charlotte.campagnolo@gmail.com" TargetMode="External"/><Relationship Id="rId42" Type="http://schemas.openxmlformats.org/officeDocument/2006/relationships/hyperlink" Target="mailto:sylke.kuessner@gmail.com" TargetMode="External"/><Relationship Id="rId47" Type="http://schemas.openxmlformats.org/officeDocument/2006/relationships/hyperlink" Target="mailto:josefine.kirmis@web.de" TargetMode="External"/><Relationship Id="rId63" Type="http://schemas.openxmlformats.org/officeDocument/2006/relationships/hyperlink" Target="mailto:h.jeworski@gmx.net" TargetMode="External"/><Relationship Id="rId68" Type="http://schemas.openxmlformats.org/officeDocument/2006/relationships/hyperlink" Target="mailto:ellen.hetterich@yahoo.com" TargetMode="External"/><Relationship Id="rId16" Type="http://schemas.openxmlformats.org/officeDocument/2006/relationships/hyperlink" Target="mailto:j.fondalinski@web.de" TargetMode="External"/><Relationship Id="rId11" Type="http://schemas.openxmlformats.org/officeDocument/2006/relationships/hyperlink" Target="mailto:m.pauli@a1.net" TargetMode="External"/><Relationship Id="rId24" Type="http://schemas.openxmlformats.org/officeDocument/2006/relationships/hyperlink" Target="mailto:r.buttweiler@osteopathie-pfalz.de" TargetMode="External"/><Relationship Id="rId32" Type="http://schemas.openxmlformats.org/officeDocument/2006/relationships/hyperlink" Target="mailto:alexandra.rockelsberg@gmx.de" TargetMode="External"/><Relationship Id="rId37" Type="http://schemas.openxmlformats.org/officeDocument/2006/relationships/hyperlink" Target="mailto:armand@gesundes-laufen.com" TargetMode="External"/><Relationship Id="rId40" Type="http://schemas.openxmlformats.org/officeDocument/2006/relationships/hyperlink" Target="mailto:sabeth.chevalier@free.fr" TargetMode="External"/><Relationship Id="rId45" Type="http://schemas.openxmlformats.org/officeDocument/2006/relationships/hyperlink" Target="mailto:diane.dupont@ml.etat.lu" TargetMode="External"/><Relationship Id="rId53" Type="http://schemas.openxmlformats.org/officeDocument/2006/relationships/hyperlink" Target="mailto:ronmeier@zeelandnet.nl" TargetMode="External"/><Relationship Id="rId58" Type="http://schemas.openxmlformats.org/officeDocument/2006/relationships/hyperlink" Target="mailto:martine.geib@education.lu" TargetMode="External"/><Relationship Id="rId66" Type="http://schemas.openxmlformats.org/officeDocument/2006/relationships/hyperlink" Target="mailto:armand@gesundes-laufen.com" TargetMode="External"/><Relationship Id="rId74" Type="http://schemas.openxmlformats.org/officeDocument/2006/relationships/hyperlink" Target="mailto:ajau@gmx.ch" TargetMode="External"/><Relationship Id="rId5" Type="http://schemas.openxmlformats.org/officeDocument/2006/relationships/hyperlink" Target="mailto:the217@web.de" TargetMode="External"/><Relationship Id="rId61" Type="http://schemas.openxmlformats.org/officeDocument/2006/relationships/hyperlink" Target="mailto:hms-lill@web.de" TargetMode="External"/><Relationship Id="rId19" Type="http://schemas.openxmlformats.org/officeDocument/2006/relationships/hyperlink" Target="mailto:sylke.kuessner@gmail.com" TargetMode="External"/><Relationship Id="rId14" Type="http://schemas.openxmlformats.org/officeDocument/2006/relationships/hyperlink" Target="mailto:kathleen.claudius@unitybox.de" TargetMode="External"/><Relationship Id="rId22" Type="http://schemas.openxmlformats.org/officeDocument/2006/relationships/hyperlink" Target="mailto:gaelle@touroul.com" TargetMode="External"/><Relationship Id="rId27" Type="http://schemas.openxmlformats.org/officeDocument/2006/relationships/hyperlink" Target="mailto:gaelle@touroul.com" TargetMode="External"/><Relationship Id="rId30" Type="http://schemas.openxmlformats.org/officeDocument/2006/relationships/hyperlink" Target="mailto:kathleen.claudius@unitybox.de" TargetMode="External"/><Relationship Id="rId35" Type="http://schemas.openxmlformats.org/officeDocument/2006/relationships/hyperlink" Target="mailto:yoannjulie@gmail.com" TargetMode="External"/><Relationship Id="rId43" Type="http://schemas.openxmlformats.org/officeDocument/2006/relationships/hyperlink" Target="mailto:b.czaja@mail.de" TargetMode="External"/><Relationship Id="rId48" Type="http://schemas.openxmlformats.org/officeDocument/2006/relationships/hyperlink" Target="mailto:abel-sabrina@gmx.net" TargetMode="External"/><Relationship Id="rId56" Type="http://schemas.openxmlformats.org/officeDocument/2006/relationships/hyperlink" Target="mailto:luciane@pt.lu" TargetMode="External"/><Relationship Id="rId64" Type="http://schemas.openxmlformats.org/officeDocument/2006/relationships/hyperlink" Target="mailto:bsg01@aol.com" TargetMode="External"/><Relationship Id="rId69" Type="http://schemas.openxmlformats.org/officeDocument/2006/relationships/hyperlink" Target="mailto:bo.odenthal@t-online.de" TargetMode="External"/><Relationship Id="rId77" Type="http://schemas.openxmlformats.org/officeDocument/2006/relationships/hyperlink" Target="mailto:goldbeck@nanometric.de" TargetMode="External"/><Relationship Id="rId8" Type="http://schemas.openxmlformats.org/officeDocument/2006/relationships/hyperlink" Target="mailto:gerfried.knaeble@t-online.de" TargetMode="External"/><Relationship Id="rId51" Type="http://schemas.openxmlformats.org/officeDocument/2006/relationships/hyperlink" Target="mailto:bsg01@aol.com" TargetMode="External"/><Relationship Id="rId72" Type="http://schemas.openxmlformats.org/officeDocument/2006/relationships/hyperlink" Target="mailto:lena_bodammer@web.de" TargetMode="External"/><Relationship Id="rId3" Type="http://schemas.openxmlformats.org/officeDocument/2006/relationships/hyperlink" Target="mailto:a.lukas@t-online.de" TargetMode="External"/><Relationship Id="rId12" Type="http://schemas.openxmlformats.org/officeDocument/2006/relationships/hyperlink" Target="mailto:tamaraundmartin@bluewin.ch" TargetMode="External"/><Relationship Id="rId17" Type="http://schemas.openxmlformats.org/officeDocument/2006/relationships/hyperlink" Target="mailto:tatjana.roell@gmail.com" TargetMode="External"/><Relationship Id="rId25" Type="http://schemas.openxmlformats.org/officeDocument/2006/relationships/hyperlink" Target="mailto:brenneralex.ab@gmail.com" TargetMode="External"/><Relationship Id="rId33" Type="http://schemas.openxmlformats.org/officeDocument/2006/relationships/hyperlink" Target="mailto:brenneralex.ab@gmail.com" TargetMode="External"/><Relationship Id="rId38" Type="http://schemas.openxmlformats.org/officeDocument/2006/relationships/hyperlink" Target="mailto:stro.stro@gmail.com" TargetMode="External"/><Relationship Id="rId46" Type="http://schemas.openxmlformats.org/officeDocument/2006/relationships/hyperlink" Target="mailto:joyo67_04@yahoo.com" TargetMode="External"/><Relationship Id="rId59" Type="http://schemas.openxmlformats.org/officeDocument/2006/relationships/hyperlink" Target="mailto:dani.furrer@outlook.com" TargetMode="External"/><Relationship Id="rId67" Type="http://schemas.openxmlformats.org/officeDocument/2006/relationships/hyperlink" Target="mailto:alexandra.rockelsberg@gmx.de" TargetMode="External"/><Relationship Id="rId20" Type="http://schemas.openxmlformats.org/officeDocument/2006/relationships/hyperlink" Target="mailto:bettinapaukstat@t-online.de" TargetMode="External"/><Relationship Id="rId41" Type="http://schemas.openxmlformats.org/officeDocument/2006/relationships/hyperlink" Target="mailto:kanzlei@anwaltskanzlei-tl.de" TargetMode="External"/><Relationship Id="rId54" Type="http://schemas.openxmlformats.org/officeDocument/2006/relationships/hyperlink" Target="mailto:droste.andre@gmail.com" TargetMode="External"/><Relationship Id="rId62" Type="http://schemas.openxmlformats.org/officeDocument/2006/relationships/hyperlink" Target="mailto:heinz.scheuren@web.de" TargetMode="External"/><Relationship Id="rId70" Type="http://schemas.openxmlformats.org/officeDocument/2006/relationships/hyperlink" Target="mailto:blackstream@gmx.net" TargetMode="External"/><Relationship Id="rId75" Type="http://schemas.openxmlformats.org/officeDocument/2006/relationships/hyperlink" Target="mailto:ronmeier@zeelandnet.nl" TargetMode="External"/><Relationship Id="rId1" Type="http://schemas.openxmlformats.org/officeDocument/2006/relationships/hyperlink" Target="mailto:waldemar.schmidt@pflegenundwohnen.de" TargetMode="External"/><Relationship Id="rId6" Type="http://schemas.openxmlformats.org/officeDocument/2006/relationships/hyperlink" Target="mailto:dirk@calzawara.de" TargetMode="External"/><Relationship Id="rId15" Type="http://schemas.openxmlformats.org/officeDocument/2006/relationships/hyperlink" Target="mailto:befra.walter@arcor.de" TargetMode="External"/><Relationship Id="rId23" Type="http://schemas.openxmlformats.org/officeDocument/2006/relationships/hyperlink" Target="mailto:c.kretschmer@terberg-de.de" TargetMode="External"/><Relationship Id="rId28" Type="http://schemas.openxmlformats.org/officeDocument/2006/relationships/hyperlink" Target="mailto:jutta.greiner@gmx.com" TargetMode="External"/><Relationship Id="rId36" Type="http://schemas.openxmlformats.org/officeDocument/2006/relationships/hyperlink" Target="mailto:info.samato@gmx.de" TargetMode="External"/><Relationship Id="rId49" Type="http://schemas.openxmlformats.org/officeDocument/2006/relationships/hyperlink" Target="mailto:madree2@yahoo.fr" TargetMode="External"/><Relationship Id="rId57" Type="http://schemas.openxmlformats.org/officeDocument/2006/relationships/hyperlink" Target="mailto:arstoll@bluewin.ch" TargetMode="External"/><Relationship Id="rId10" Type="http://schemas.openxmlformats.org/officeDocument/2006/relationships/hyperlink" Target="mailto:y.siegenthaler@hotmail.com" TargetMode="External"/><Relationship Id="rId31" Type="http://schemas.openxmlformats.org/officeDocument/2006/relationships/hyperlink" Target="mailto:daenublaser@bluewin.ch" TargetMode="External"/><Relationship Id="rId44" Type="http://schemas.openxmlformats.org/officeDocument/2006/relationships/hyperlink" Target="mailto:pamela.willaschek@freenet.de" TargetMode="External"/><Relationship Id="rId52" Type="http://schemas.openxmlformats.org/officeDocument/2006/relationships/hyperlink" Target="mailto:bsg01@aol.com" TargetMode="External"/><Relationship Id="rId60" Type="http://schemas.openxmlformats.org/officeDocument/2006/relationships/hyperlink" Target="mailto:hardy.hecker@hhmobile.de" TargetMode="External"/><Relationship Id="rId65" Type="http://schemas.openxmlformats.org/officeDocument/2006/relationships/hyperlink" Target="mailto:pethei@msn.com" TargetMode="External"/><Relationship Id="rId73" Type="http://schemas.openxmlformats.org/officeDocument/2006/relationships/hyperlink" Target="mailto:kbrinkers@icloud.com" TargetMode="External"/><Relationship Id="rId78" Type="http://schemas.openxmlformats.org/officeDocument/2006/relationships/hyperlink" Target="mailto:kanzlei@anwaltskanzlei-tl.de" TargetMode="External"/><Relationship Id="rId4" Type="http://schemas.openxmlformats.org/officeDocument/2006/relationships/hyperlink" Target="mailto:bonjour.mandy18@gmail.com" TargetMode="External"/><Relationship Id="rId9" Type="http://schemas.openxmlformats.org/officeDocument/2006/relationships/hyperlink" Target="mailto:dunja.zieser@gmx.net" TargetMode="External"/><Relationship Id="rId13" Type="http://schemas.openxmlformats.org/officeDocument/2006/relationships/hyperlink" Target="mailto:nicole.colacicco@gmail.com" TargetMode="External"/><Relationship Id="rId18" Type="http://schemas.openxmlformats.org/officeDocument/2006/relationships/hyperlink" Target="mailto:moty75510@hotmail.com" TargetMode="External"/><Relationship Id="rId39" Type="http://schemas.openxmlformats.org/officeDocument/2006/relationships/hyperlink" Target="mailto:jeremy.malor@gmail.com" TargetMode="External"/><Relationship Id="rId34" Type="http://schemas.openxmlformats.org/officeDocument/2006/relationships/hyperlink" Target="mailto:nicjay@gmx.de" TargetMode="External"/><Relationship Id="rId50" Type="http://schemas.openxmlformats.org/officeDocument/2006/relationships/hyperlink" Target="mailto:sandra@broekmann.de" TargetMode="External"/><Relationship Id="rId55" Type="http://schemas.openxmlformats.org/officeDocument/2006/relationships/hyperlink" Target="mailto:gaelle@touroul.com" TargetMode="External"/><Relationship Id="rId76" Type="http://schemas.openxmlformats.org/officeDocument/2006/relationships/hyperlink" Target="mailto:e.mwuest@bluewin.ch" TargetMode="External"/><Relationship Id="rId7" Type="http://schemas.openxmlformats.org/officeDocument/2006/relationships/hyperlink" Target="mailto:ulrike@haenel-duepree.de" TargetMode="External"/><Relationship Id="rId71" Type="http://schemas.openxmlformats.org/officeDocument/2006/relationships/hyperlink" Target="mailto:mp.kohl@t-online.de" TargetMode="External"/><Relationship Id="rId2" Type="http://schemas.openxmlformats.org/officeDocument/2006/relationships/hyperlink" Target="mailto:christes@unity-mail.de" TargetMode="External"/><Relationship Id="rId29" Type="http://schemas.openxmlformats.org/officeDocument/2006/relationships/hyperlink" Target="mailto:r.buttweiler@osteopathie-pfalz.de" TargetMode="Externa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sandra@broekmann.de" TargetMode="External"/><Relationship Id="rId299" Type="http://schemas.openxmlformats.org/officeDocument/2006/relationships/hyperlink" Target="mailto:aagilly@gmail.com" TargetMode="External"/><Relationship Id="rId21" Type="http://schemas.openxmlformats.org/officeDocument/2006/relationships/hyperlink" Target="mailto:peter.seuss@googlemail.com" TargetMode="External"/><Relationship Id="rId63" Type="http://schemas.openxmlformats.org/officeDocument/2006/relationships/hyperlink" Target="mailto:sandra@erhart.ch" TargetMode="External"/><Relationship Id="rId159" Type="http://schemas.openxmlformats.org/officeDocument/2006/relationships/hyperlink" Target="mailto:audrey.morvan77176@gmail.com" TargetMode="External"/><Relationship Id="rId324" Type="http://schemas.openxmlformats.org/officeDocument/2006/relationships/hyperlink" Target="mailto:tane.zbinden@bluewin.ch" TargetMode="External"/><Relationship Id="rId170" Type="http://schemas.openxmlformats.org/officeDocument/2006/relationships/hyperlink" Target="mailto:family@schlup.net" TargetMode="External"/><Relationship Id="rId226" Type="http://schemas.openxmlformats.org/officeDocument/2006/relationships/hyperlink" Target="mailto:ulf.anja@freenet.de" TargetMode="External"/><Relationship Id="rId268" Type="http://schemas.openxmlformats.org/officeDocument/2006/relationships/hyperlink" Target="mailto:frank.wacker@gmx.de" TargetMode="External"/><Relationship Id="rId32" Type="http://schemas.openxmlformats.org/officeDocument/2006/relationships/hyperlink" Target="mailto:ebschmitter@bluewin.ch" TargetMode="External"/><Relationship Id="rId74" Type="http://schemas.openxmlformats.org/officeDocument/2006/relationships/hyperlink" Target="mailto:cbtkw@email.de" TargetMode="External"/><Relationship Id="rId128" Type="http://schemas.openxmlformats.org/officeDocument/2006/relationships/hyperlink" Target="mailto:ronmeier@zeelandnet.nl" TargetMode="External"/><Relationship Id="rId5" Type="http://schemas.openxmlformats.org/officeDocument/2006/relationships/hyperlink" Target="mailto:BeateSchweitzer@hotmail.com" TargetMode="External"/><Relationship Id="rId181" Type="http://schemas.openxmlformats.org/officeDocument/2006/relationships/hyperlink" Target="mailto:f.hain@gmx.de" TargetMode="External"/><Relationship Id="rId237" Type="http://schemas.openxmlformats.org/officeDocument/2006/relationships/hyperlink" Target="mailto:v.krieg@gmx.net" TargetMode="External"/><Relationship Id="rId279" Type="http://schemas.openxmlformats.org/officeDocument/2006/relationships/hyperlink" Target="mailto:alexandra.roth@gmx.ch" TargetMode="External"/><Relationship Id="rId43" Type="http://schemas.openxmlformats.org/officeDocument/2006/relationships/hyperlink" Target="mailto:kerri1409@googlemail.com" TargetMode="External"/><Relationship Id="rId139" Type="http://schemas.openxmlformats.org/officeDocument/2006/relationships/hyperlink" Target="mailto:joachim.kleist@gmx.net" TargetMode="External"/><Relationship Id="rId290" Type="http://schemas.openxmlformats.org/officeDocument/2006/relationships/hyperlink" Target="mailto:hockamp@eyenovation.de" TargetMode="External"/><Relationship Id="rId304" Type="http://schemas.openxmlformats.org/officeDocument/2006/relationships/hyperlink" Target="mailto:s.g.blenk@gmail.com" TargetMode="External"/><Relationship Id="rId85" Type="http://schemas.openxmlformats.org/officeDocument/2006/relationships/hyperlink" Target="mailto:erwanhubert@free.fr" TargetMode="External"/><Relationship Id="rId150" Type="http://schemas.openxmlformats.org/officeDocument/2006/relationships/hyperlink" Target="mailto:jens.kromschroeder@web.de" TargetMode="External"/><Relationship Id="rId192" Type="http://schemas.openxmlformats.org/officeDocument/2006/relationships/hyperlink" Target="mailto:giesing-wegner@web.de" TargetMode="External"/><Relationship Id="rId206" Type="http://schemas.openxmlformats.org/officeDocument/2006/relationships/hyperlink" Target="mailto:catarina@marpmannonline.de" TargetMode="External"/><Relationship Id="rId248" Type="http://schemas.openxmlformats.org/officeDocument/2006/relationships/hyperlink" Target="mailto:arsreplica@freenet.de" TargetMode="External"/><Relationship Id="rId12" Type="http://schemas.openxmlformats.org/officeDocument/2006/relationships/hyperlink" Target="mailto:mangold.lth@arcor.de" TargetMode="External"/><Relationship Id="rId108" Type="http://schemas.openxmlformats.org/officeDocument/2006/relationships/hyperlink" Target="mailto:frieder.schaefer@gmx.de" TargetMode="External"/><Relationship Id="rId315" Type="http://schemas.openxmlformats.org/officeDocument/2006/relationships/hyperlink" Target="mailto:annetteberthold@yahoo.fr" TargetMode="External"/><Relationship Id="rId54" Type="http://schemas.openxmlformats.org/officeDocument/2006/relationships/hyperlink" Target="mailto:niegengerd@hotmail.com" TargetMode="External"/><Relationship Id="rId96" Type="http://schemas.openxmlformats.org/officeDocument/2006/relationships/hyperlink" Target="mailto:kmercedes300@aol.com" TargetMode="External"/><Relationship Id="rId161" Type="http://schemas.openxmlformats.org/officeDocument/2006/relationships/hyperlink" Target="mailto:tierphysio-elber@hotmail.com" TargetMode="External"/><Relationship Id="rId217" Type="http://schemas.openxmlformats.org/officeDocument/2006/relationships/hyperlink" Target="mailto:migy@hotmail.de" TargetMode="External"/><Relationship Id="rId259" Type="http://schemas.openxmlformats.org/officeDocument/2006/relationships/hyperlink" Target="mailto:Rita.Strackbein@diskurs.net" TargetMode="External"/><Relationship Id="rId23" Type="http://schemas.openxmlformats.org/officeDocument/2006/relationships/hyperlink" Target="mailto:bettina.ri@t-online.de" TargetMode="External"/><Relationship Id="rId119" Type="http://schemas.openxmlformats.org/officeDocument/2006/relationships/hyperlink" Target="mailto:stef-heinrich@web.de" TargetMode="External"/><Relationship Id="rId270" Type="http://schemas.openxmlformats.org/officeDocument/2006/relationships/hyperlink" Target="mailto:eva.hartmann-seuferlein@web.de" TargetMode="External"/><Relationship Id="rId326" Type="http://schemas.openxmlformats.org/officeDocument/2006/relationships/hyperlink" Target="mailto:Rita.Strackbein@diskurs.net" TargetMode="External"/><Relationship Id="rId65" Type="http://schemas.openxmlformats.org/officeDocument/2006/relationships/hyperlink" Target="mailto:christele.mace@numericable.fr" TargetMode="External"/><Relationship Id="rId130" Type="http://schemas.openxmlformats.org/officeDocument/2006/relationships/hyperlink" Target="mailto:mail@birgithoffmann.com" TargetMode="External"/><Relationship Id="rId172" Type="http://schemas.openxmlformats.org/officeDocument/2006/relationships/hyperlink" Target="mailto:sandra@rudelwohl-zach.de" TargetMode="External"/><Relationship Id="rId228" Type="http://schemas.openxmlformats.org/officeDocument/2006/relationships/hyperlink" Target="mailto:ublatz@blatz-kunststoffwerk.de" TargetMode="External"/><Relationship Id="rId281" Type="http://schemas.openxmlformats.org/officeDocument/2006/relationships/hyperlink" Target="mailto:kristina.autsch@gmx.de" TargetMode="External"/><Relationship Id="rId34" Type="http://schemas.openxmlformats.org/officeDocument/2006/relationships/hyperlink" Target="mailto:minaluni@yahoo.de" TargetMode="External"/><Relationship Id="rId76" Type="http://schemas.openxmlformats.org/officeDocument/2006/relationships/hyperlink" Target="mailto:marjolein@hovingnet.nl" TargetMode="External"/><Relationship Id="rId141" Type="http://schemas.openxmlformats.org/officeDocument/2006/relationships/hyperlink" Target="mailto:to.m@me.com" TargetMode="External"/><Relationship Id="rId7" Type="http://schemas.openxmlformats.org/officeDocument/2006/relationships/hyperlink" Target="mailto:nadja.scaglione@bluewin.ch" TargetMode="External"/><Relationship Id="rId162" Type="http://schemas.openxmlformats.org/officeDocument/2006/relationships/hyperlink" Target="mailto:skjelsvik@sunrise.ch" TargetMode="External"/><Relationship Id="rId183" Type="http://schemas.openxmlformats.org/officeDocument/2006/relationships/hyperlink" Target="mailto:star_moon4@hotmail.com" TargetMode="External"/><Relationship Id="rId218" Type="http://schemas.openxmlformats.org/officeDocument/2006/relationships/hyperlink" Target="mailto:martin.haefner@nexgo.de" TargetMode="External"/><Relationship Id="rId239" Type="http://schemas.openxmlformats.org/officeDocument/2006/relationships/hyperlink" Target="mailto:c.laudi@ib-laudi.de?subject=Ihre%20Anfrage%20auf%20hunde-urlaub.net" TargetMode="External"/><Relationship Id="rId250" Type="http://schemas.openxmlformats.org/officeDocument/2006/relationships/hyperlink" Target="mailto:marko.mock@t-online.de" TargetMode="External"/><Relationship Id="rId271" Type="http://schemas.openxmlformats.org/officeDocument/2006/relationships/hyperlink" Target="mailto:sanzell75@gmx.de" TargetMode="External"/><Relationship Id="rId292" Type="http://schemas.openxmlformats.org/officeDocument/2006/relationships/hyperlink" Target="mailto:timoh@bluewin.ch" TargetMode="External"/><Relationship Id="rId306" Type="http://schemas.openxmlformats.org/officeDocument/2006/relationships/hyperlink" Target="mailto:sandra.reich81@web.de" TargetMode="External"/><Relationship Id="rId24" Type="http://schemas.openxmlformats.org/officeDocument/2006/relationships/hyperlink" Target="mailto:joerg.parzl@mellinundmellin.de" TargetMode="External"/><Relationship Id="rId45" Type="http://schemas.openxmlformats.org/officeDocument/2006/relationships/hyperlink" Target="mailto:eifelinfo@t-online.de" TargetMode="External"/><Relationship Id="rId66" Type="http://schemas.openxmlformats.org/officeDocument/2006/relationships/hyperlink" Target="mailto:erwanhubert@free.fr" TargetMode="External"/><Relationship Id="rId87" Type="http://schemas.openxmlformats.org/officeDocument/2006/relationships/hyperlink" Target="mailto:wegwart@web.de" TargetMode="External"/><Relationship Id="rId110" Type="http://schemas.openxmlformats.org/officeDocument/2006/relationships/hyperlink" Target="mailto:michaelamandt@yahoo.de" TargetMode="External"/><Relationship Id="rId131" Type="http://schemas.openxmlformats.org/officeDocument/2006/relationships/hyperlink" Target="mailto:tamara.d.hersperger@gmail.com" TargetMode="External"/><Relationship Id="rId327" Type="http://schemas.openxmlformats.org/officeDocument/2006/relationships/hyperlink" Target="mailto:daniela.sann@gmail.com" TargetMode="External"/><Relationship Id="rId152" Type="http://schemas.openxmlformats.org/officeDocument/2006/relationships/hyperlink" Target="mailto:info@hof-luckmann.de" TargetMode="External"/><Relationship Id="rId173" Type="http://schemas.openxmlformats.org/officeDocument/2006/relationships/hyperlink" Target="mailto:k.nemeth24@googlemail.com" TargetMode="External"/><Relationship Id="rId194" Type="http://schemas.openxmlformats.org/officeDocument/2006/relationships/hyperlink" Target="mailto:beatebelz@gmx.de" TargetMode="External"/><Relationship Id="rId208" Type="http://schemas.openxmlformats.org/officeDocument/2006/relationships/hyperlink" Target="mailto:auftrittebert@aol.com" TargetMode="External"/><Relationship Id="rId229" Type="http://schemas.openxmlformats.org/officeDocument/2006/relationships/hyperlink" Target="mailto:kornelia_mrowitzky@web.de" TargetMode="External"/><Relationship Id="rId240" Type="http://schemas.openxmlformats.org/officeDocument/2006/relationships/hyperlink" Target="mailto:Gerhard.Meier-Kautenburger@malteser.org" TargetMode="External"/><Relationship Id="rId261" Type="http://schemas.openxmlformats.org/officeDocument/2006/relationships/hyperlink" Target="mailto:christian.sallmann@lancom.de&#160;" TargetMode="External"/><Relationship Id="rId14" Type="http://schemas.openxmlformats.org/officeDocument/2006/relationships/hyperlink" Target="mailto:christina.gerberding@t-online.de" TargetMode="External"/><Relationship Id="rId35" Type="http://schemas.openxmlformats.org/officeDocument/2006/relationships/hyperlink" Target="mailto:ed@ip-worldcom.ch" TargetMode="External"/><Relationship Id="rId56" Type="http://schemas.openxmlformats.org/officeDocument/2006/relationships/hyperlink" Target="mailto:sonja.siekkoetter@ewetel.net" TargetMode="External"/><Relationship Id="rId77" Type="http://schemas.openxmlformats.org/officeDocument/2006/relationships/hyperlink" Target="mailto:odilecarlier@orange.fr" TargetMode="External"/><Relationship Id="rId100" Type="http://schemas.openxmlformats.org/officeDocument/2006/relationships/hyperlink" Target="tel:+4915115307260" TargetMode="External"/><Relationship Id="rId282" Type="http://schemas.openxmlformats.org/officeDocument/2006/relationships/hyperlink" Target="mailto:kfroehlig@web.de" TargetMode="External"/><Relationship Id="rId317" Type="http://schemas.openxmlformats.org/officeDocument/2006/relationships/hyperlink" Target="mailto:dubea@pt.lu" TargetMode="External"/><Relationship Id="rId8" Type="http://schemas.openxmlformats.org/officeDocument/2006/relationships/hyperlink" Target="mailto:b.meyer-lueters@videx.de" TargetMode="External"/><Relationship Id="rId98" Type="http://schemas.openxmlformats.org/officeDocument/2006/relationships/hyperlink" Target="mailto:rodriguenavlet@hotmail.com" TargetMode="External"/><Relationship Id="rId121" Type="http://schemas.openxmlformats.org/officeDocument/2006/relationships/hyperlink" Target="mailto:ryser.ittigen@bluewin.ch" TargetMode="External"/><Relationship Id="rId142" Type="http://schemas.openxmlformats.org/officeDocument/2006/relationships/hyperlink" Target="mailto:thierry.amirgholami@outlook.de" TargetMode="External"/><Relationship Id="rId163" Type="http://schemas.openxmlformats.org/officeDocument/2006/relationships/hyperlink" Target="mailto:u.wirth@alowag.ch" TargetMode="External"/><Relationship Id="rId184" Type="http://schemas.openxmlformats.org/officeDocument/2006/relationships/hyperlink" Target="mailto:rckuhn@web.de" TargetMode="External"/><Relationship Id="rId219" Type="http://schemas.openxmlformats.org/officeDocument/2006/relationships/hyperlink" Target="mailto:fc@licker.de" TargetMode="External"/><Relationship Id="rId230" Type="http://schemas.openxmlformats.org/officeDocument/2006/relationships/hyperlink" Target="mailto:helmut.joe.bergmann@t-online.de" TargetMode="External"/><Relationship Id="rId251" Type="http://schemas.openxmlformats.org/officeDocument/2006/relationships/hyperlink" Target="mailto:birgit.schietinger@gmail.com" TargetMode="External"/><Relationship Id="rId25" Type="http://schemas.openxmlformats.org/officeDocument/2006/relationships/hyperlink" Target="mailto:mruethy@bluewin.ch" TargetMode="External"/><Relationship Id="rId46" Type="http://schemas.openxmlformats.org/officeDocument/2006/relationships/hyperlink" Target="mailto:davidb39@hotmail.fr" TargetMode="External"/><Relationship Id="rId67" Type="http://schemas.openxmlformats.org/officeDocument/2006/relationships/hyperlink" Target="mailto:N.koeninger@web.de" TargetMode="External"/><Relationship Id="rId272" Type="http://schemas.openxmlformats.org/officeDocument/2006/relationships/hyperlink" Target="mailto:chr.tiersch@gmail.com" TargetMode="External"/><Relationship Id="rId293" Type="http://schemas.openxmlformats.org/officeDocument/2006/relationships/hyperlink" Target="mailto:leporello@vodafone.de" TargetMode="External"/><Relationship Id="rId307" Type="http://schemas.openxmlformats.org/officeDocument/2006/relationships/hyperlink" Target="mailto:axel.heinze@t-online.de" TargetMode="External"/><Relationship Id="rId328" Type="http://schemas.openxmlformats.org/officeDocument/2006/relationships/printerSettings" Target="../printerSettings/printerSettings2.bin"/><Relationship Id="rId88" Type="http://schemas.openxmlformats.org/officeDocument/2006/relationships/hyperlink" Target="mailto:amillet7@wanadoo.fr" TargetMode="External"/><Relationship Id="rId111" Type="http://schemas.openxmlformats.org/officeDocument/2006/relationships/hyperlink" Target="mailto:joyo67_04@yahoo.com" TargetMode="External"/><Relationship Id="rId132" Type="http://schemas.openxmlformats.org/officeDocument/2006/relationships/hyperlink" Target="mailto:luna8311@googlemail.com" TargetMode="External"/><Relationship Id="rId153" Type="http://schemas.openxmlformats.org/officeDocument/2006/relationships/hyperlink" Target="mailto:jules.serrig@gmail.com" TargetMode="External"/><Relationship Id="rId174" Type="http://schemas.openxmlformats.org/officeDocument/2006/relationships/hyperlink" Target="mailto:sandra@broekmann.de" TargetMode="External"/><Relationship Id="rId195" Type="http://schemas.openxmlformats.org/officeDocument/2006/relationships/hyperlink" Target="mailto:stephane.pollino@gmail.com" TargetMode="External"/><Relationship Id="rId209" Type="http://schemas.openxmlformats.org/officeDocument/2006/relationships/hyperlink" Target="mailto:beatebelz@gmx.de" TargetMode="External"/><Relationship Id="rId220" Type="http://schemas.openxmlformats.org/officeDocument/2006/relationships/hyperlink" Target="mailto:alexacgn@gmail.com" TargetMode="External"/><Relationship Id="rId241" Type="http://schemas.openxmlformats.org/officeDocument/2006/relationships/hyperlink" Target="mailto:c.laudi@ib-laudi.de" TargetMode="External"/><Relationship Id="rId15" Type="http://schemas.openxmlformats.org/officeDocument/2006/relationships/hyperlink" Target="mailto:janine@felix-weber.com" TargetMode="External"/><Relationship Id="rId36" Type="http://schemas.openxmlformats.org/officeDocument/2006/relationships/hyperlink" Target="mailto:andreas.grimm2@web.de" TargetMode="External"/><Relationship Id="rId57" Type="http://schemas.openxmlformats.org/officeDocument/2006/relationships/hyperlink" Target="mailto:lindner1984@yahoo.de" TargetMode="External"/><Relationship Id="rId262" Type="http://schemas.openxmlformats.org/officeDocument/2006/relationships/hyperlink" Target="mailto:birgit@kurus.de" TargetMode="External"/><Relationship Id="rId283" Type="http://schemas.openxmlformats.org/officeDocument/2006/relationships/hyperlink" Target="mailto:jens.kromschroeder@web.de" TargetMode="External"/><Relationship Id="rId318" Type="http://schemas.openxmlformats.org/officeDocument/2006/relationships/hyperlink" Target="mailto:MKLEINM@t-online.de" TargetMode="External"/><Relationship Id="rId78" Type="http://schemas.openxmlformats.org/officeDocument/2006/relationships/hyperlink" Target="mailto:diane.dupont@ml.etat.lu" TargetMode="External"/><Relationship Id="rId99" Type="http://schemas.openxmlformats.org/officeDocument/2006/relationships/hyperlink" Target="mailto:brigittechanteloube@wanadoo.fr" TargetMode="External"/><Relationship Id="rId101" Type="http://schemas.openxmlformats.org/officeDocument/2006/relationships/hyperlink" Target="mailto:gmmanzi@aol.com" TargetMode="External"/><Relationship Id="rId122" Type="http://schemas.openxmlformats.org/officeDocument/2006/relationships/hyperlink" Target="mailto:lara.kass@gmail.com" TargetMode="External"/><Relationship Id="rId143" Type="http://schemas.openxmlformats.org/officeDocument/2006/relationships/hyperlink" Target="mailto:zazoo382003@yahoo.de" TargetMode="External"/><Relationship Id="rId164" Type="http://schemas.openxmlformats.org/officeDocument/2006/relationships/hyperlink" Target="mailto:ursstirnemann@bluewin.ch" TargetMode="External"/><Relationship Id="rId185" Type="http://schemas.openxmlformats.org/officeDocument/2006/relationships/hyperlink" Target="mailto:frieder.schaefer@gmx.de" TargetMode="External"/><Relationship Id="rId9" Type="http://schemas.openxmlformats.org/officeDocument/2006/relationships/hyperlink" Target="mailto:mascha@blatow.de" TargetMode="External"/><Relationship Id="rId210" Type="http://schemas.openxmlformats.org/officeDocument/2006/relationships/hyperlink" Target="mailto:u.wirth@alowag.ch" TargetMode="External"/><Relationship Id="rId26" Type="http://schemas.openxmlformats.org/officeDocument/2006/relationships/hyperlink" Target="mailto:rodriguenavlet@hotmail.com" TargetMode="External"/><Relationship Id="rId231" Type="http://schemas.openxmlformats.org/officeDocument/2006/relationships/hyperlink" Target="mailto:pethei@msn.com" TargetMode="External"/><Relationship Id="rId252" Type="http://schemas.openxmlformats.org/officeDocument/2006/relationships/hyperlink" Target="mailto:thomas.kuebli@fhotels.ch" TargetMode="External"/><Relationship Id="rId273" Type="http://schemas.openxmlformats.org/officeDocument/2006/relationships/hyperlink" Target="mailto:mareike.kiederer@mwoehr-cnc.de" TargetMode="External"/><Relationship Id="rId294" Type="http://schemas.openxmlformats.org/officeDocument/2006/relationships/hyperlink" Target="mailto:piabuchholz@googlemail.com" TargetMode="External"/><Relationship Id="rId308" Type="http://schemas.openxmlformats.org/officeDocument/2006/relationships/hyperlink" Target="mailto:info@menschund.team" TargetMode="External"/><Relationship Id="rId47" Type="http://schemas.openxmlformats.org/officeDocument/2006/relationships/hyperlink" Target="mailto:ingrid.hanisch@freenet.de" TargetMode="External"/><Relationship Id="rId68" Type="http://schemas.openxmlformats.org/officeDocument/2006/relationships/hyperlink" Target="mailto:Kinderhaus-Hauptmann@web.de" TargetMode="External"/><Relationship Id="rId89" Type="http://schemas.openxmlformats.org/officeDocument/2006/relationships/hyperlink" Target="mailto:Pfostenberg@aol.com" TargetMode="External"/><Relationship Id="rId112" Type="http://schemas.openxmlformats.org/officeDocument/2006/relationships/hyperlink" Target="mailto:diane.dupont@ml.etat.lu" TargetMode="External"/><Relationship Id="rId133" Type="http://schemas.openxmlformats.org/officeDocument/2006/relationships/hyperlink" Target="mailto:cdoering@mailbox.org" TargetMode="External"/><Relationship Id="rId154" Type="http://schemas.openxmlformats.org/officeDocument/2006/relationships/hyperlink" Target="mailto:ja@bildhaus.ch" TargetMode="External"/><Relationship Id="rId175" Type="http://schemas.openxmlformats.org/officeDocument/2006/relationships/hyperlink" Target="mailto:kmercedes300@aol.com" TargetMode="External"/><Relationship Id="rId196" Type="http://schemas.openxmlformats.org/officeDocument/2006/relationships/hyperlink" Target="mailto:tanjaS1990@gmx.net" TargetMode="External"/><Relationship Id="rId200" Type="http://schemas.openxmlformats.org/officeDocument/2006/relationships/hyperlink" Target="mailto:steinmetzdirk@yahoo.de" TargetMode="External"/><Relationship Id="rId16" Type="http://schemas.openxmlformats.org/officeDocument/2006/relationships/hyperlink" Target="mailto:hula1@intergga.ch" TargetMode="External"/><Relationship Id="rId221" Type="http://schemas.openxmlformats.org/officeDocument/2006/relationships/hyperlink" Target="mailto:helmut.joe.bergmann@t-online.de" TargetMode="External"/><Relationship Id="rId242" Type="http://schemas.openxmlformats.org/officeDocument/2006/relationships/hyperlink" Target="mailto:soohyun.lee@outlook.com" TargetMode="External"/><Relationship Id="rId263" Type="http://schemas.openxmlformats.org/officeDocument/2006/relationships/hyperlink" Target="mailto:verena.reif@icloud.com" TargetMode="External"/><Relationship Id="rId284" Type="http://schemas.openxmlformats.org/officeDocument/2006/relationships/hyperlink" Target="mailto:buechi@atzuerich.ch" TargetMode="External"/><Relationship Id="rId319" Type="http://schemas.openxmlformats.org/officeDocument/2006/relationships/hyperlink" Target="mailto:perfect-symphony@posteo.de;wendekreis.zero@yahoo.de" TargetMode="External"/><Relationship Id="rId37" Type="http://schemas.openxmlformats.org/officeDocument/2006/relationships/hyperlink" Target="mailto:m.sander@elektrobartels.de" TargetMode="External"/><Relationship Id="rId58" Type="http://schemas.openxmlformats.org/officeDocument/2006/relationships/hyperlink" Target="mailto:sylvie.vla@live.com" TargetMode="External"/><Relationship Id="rId79" Type="http://schemas.openxmlformats.org/officeDocument/2006/relationships/hyperlink" Target="mailto:herveplateau1@gmail.com" TargetMode="External"/><Relationship Id="rId102" Type="http://schemas.openxmlformats.org/officeDocument/2006/relationships/hyperlink" Target="mailto:katrin.fahr@googlemail.com" TargetMode="External"/><Relationship Id="rId123" Type="http://schemas.openxmlformats.org/officeDocument/2006/relationships/hyperlink" Target="mailto:odilecarlier@orange.fr" TargetMode="External"/><Relationship Id="rId144" Type="http://schemas.openxmlformats.org/officeDocument/2006/relationships/hyperlink" Target="mailto:pedro-l@bluemail.ch" TargetMode="External"/><Relationship Id="rId90" Type="http://schemas.openxmlformats.org/officeDocument/2006/relationships/hyperlink" Target="mailto:jhugow@snafu.de" TargetMode="External"/><Relationship Id="rId165" Type="http://schemas.openxmlformats.org/officeDocument/2006/relationships/hyperlink" Target="mailto:jhammerschmied@outlook.com" TargetMode="External"/><Relationship Id="rId186" Type="http://schemas.openxmlformats.org/officeDocument/2006/relationships/hyperlink" Target="mailto:to.m@me.com" TargetMode="External"/><Relationship Id="rId211" Type="http://schemas.openxmlformats.org/officeDocument/2006/relationships/hyperlink" Target="mailto:jeanna@mail.ch" TargetMode="External"/><Relationship Id="rId232" Type="http://schemas.openxmlformats.org/officeDocument/2006/relationships/hyperlink" Target="mailto:andreilmes@bluewin.ch" TargetMode="External"/><Relationship Id="rId253" Type="http://schemas.openxmlformats.org/officeDocument/2006/relationships/hyperlink" Target="mailto:sommer_bea@hotmail.com" TargetMode="External"/><Relationship Id="rId274" Type="http://schemas.openxmlformats.org/officeDocument/2006/relationships/hyperlink" Target="mailto:ritschiemullenax@aol.com" TargetMode="External"/><Relationship Id="rId295" Type="http://schemas.openxmlformats.org/officeDocument/2006/relationships/hyperlink" Target="mailto:cebernardon@gmail.com" TargetMode="External"/><Relationship Id="rId309" Type="http://schemas.openxmlformats.org/officeDocument/2006/relationships/hyperlink" Target="mailto:judy91@web.de" TargetMode="External"/><Relationship Id="rId27" Type="http://schemas.openxmlformats.org/officeDocument/2006/relationships/hyperlink" Target="mailto:pierre.chalard@univ-bpclermont.fr" TargetMode="External"/><Relationship Id="rId48" Type="http://schemas.openxmlformats.org/officeDocument/2006/relationships/hyperlink" Target="mailto:tmuellerteufel@email.de" TargetMode="External"/><Relationship Id="rId69" Type="http://schemas.openxmlformats.org/officeDocument/2006/relationships/hyperlink" Target="mailto:paloma13@gmx.de" TargetMode="External"/><Relationship Id="rId113" Type="http://schemas.openxmlformats.org/officeDocument/2006/relationships/hyperlink" Target="mailto:ingrid.hanisch@freenet.de" TargetMode="External"/><Relationship Id="rId134" Type="http://schemas.openxmlformats.org/officeDocument/2006/relationships/hyperlink" Target="mailto:zobjackm@yahoo.de" TargetMode="External"/><Relationship Id="rId320" Type="http://schemas.openxmlformats.org/officeDocument/2006/relationships/hyperlink" Target="mailto:ascholte@pt.lu" TargetMode="External"/><Relationship Id="rId80" Type="http://schemas.openxmlformats.org/officeDocument/2006/relationships/hyperlink" Target="mailto:brendaruck@zeelandnet.nl" TargetMode="External"/><Relationship Id="rId155" Type="http://schemas.openxmlformats.org/officeDocument/2006/relationships/hyperlink" Target="mailto:alexacgn@gmail.com" TargetMode="External"/><Relationship Id="rId176" Type="http://schemas.openxmlformats.org/officeDocument/2006/relationships/hyperlink" Target="mailto:fg@pflegermais.at" TargetMode="External"/><Relationship Id="rId197" Type="http://schemas.openxmlformats.org/officeDocument/2006/relationships/hyperlink" Target="mailto:to.m@me.com" TargetMode="External"/><Relationship Id="rId201" Type="http://schemas.openxmlformats.org/officeDocument/2006/relationships/hyperlink" Target="mailto:lena.holzschuh33@gmail.com" TargetMode="External"/><Relationship Id="rId222" Type="http://schemas.openxmlformats.org/officeDocument/2006/relationships/hyperlink" Target="mailto:joerg.ellermeyer@gmail.com" TargetMode="External"/><Relationship Id="rId243" Type="http://schemas.openxmlformats.org/officeDocument/2006/relationships/hyperlink" Target="mailto:christoph.hermann@archimedes-leasing.de" TargetMode="External"/><Relationship Id="rId264" Type="http://schemas.openxmlformats.org/officeDocument/2006/relationships/hyperlink" Target="mailto:michaela.staehlin@t-online.de" TargetMode="External"/><Relationship Id="rId285" Type="http://schemas.openxmlformats.org/officeDocument/2006/relationships/hyperlink" Target="mailto:delvaulxas@hotmail.com" TargetMode="External"/><Relationship Id="rId17" Type="http://schemas.openxmlformats.org/officeDocument/2006/relationships/hyperlink" Target="mailto:cboedecker@arcor.de" TargetMode="External"/><Relationship Id="rId38" Type="http://schemas.openxmlformats.org/officeDocument/2006/relationships/hyperlink" Target="mailto:Fabrice.FLAMME@spw.wallonie.be" TargetMode="External"/><Relationship Id="rId59" Type="http://schemas.openxmlformats.org/officeDocument/2006/relationships/hyperlink" Target="mailto:tf.thomasfranke@t-online.de" TargetMode="External"/><Relationship Id="rId103" Type="http://schemas.openxmlformats.org/officeDocument/2006/relationships/hyperlink" Target="mailto:f.hain@gmx.de" TargetMode="External"/><Relationship Id="rId124" Type="http://schemas.openxmlformats.org/officeDocument/2006/relationships/hyperlink" Target="mailto:to.m@me.com" TargetMode="External"/><Relationship Id="rId310" Type="http://schemas.openxmlformats.org/officeDocument/2006/relationships/hyperlink" Target="mailto:ina.unger@vodafone.de" TargetMode="External"/><Relationship Id="rId70" Type="http://schemas.openxmlformats.org/officeDocument/2006/relationships/hyperlink" Target="mailto:rainer.wittemann@hotmail.de" TargetMode="External"/><Relationship Id="rId91" Type="http://schemas.openxmlformats.org/officeDocument/2006/relationships/hyperlink" Target="mailto:family@schlup.net" TargetMode="External"/><Relationship Id="rId145" Type="http://schemas.openxmlformats.org/officeDocument/2006/relationships/hyperlink" Target="mailto:nadja@auraseta.ch" TargetMode="External"/><Relationship Id="rId166" Type="http://schemas.openxmlformats.org/officeDocument/2006/relationships/hyperlink" Target="mailto:didier.priolet@free.fr" TargetMode="External"/><Relationship Id="rId187" Type="http://schemas.openxmlformats.org/officeDocument/2006/relationships/hyperlink" Target="mailto:michaelamandt@yahoo.de" TargetMode="External"/><Relationship Id="rId1" Type="http://schemas.openxmlformats.org/officeDocument/2006/relationships/hyperlink" Target="mailto:reinhardt@osw-eschbach.de" TargetMode="External"/><Relationship Id="rId212" Type="http://schemas.openxmlformats.org/officeDocument/2006/relationships/hyperlink" Target="mailto:c-pelz@web.de" TargetMode="External"/><Relationship Id="rId233" Type="http://schemas.openxmlformats.org/officeDocument/2006/relationships/hyperlink" Target="mailto:jens.kromschroeder@web.de" TargetMode="External"/><Relationship Id="rId254" Type="http://schemas.openxmlformats.org/officeDocument/2006/relationships/hyperlink" Target="mailto:mgauff@mgauff.com" TargetMode="External"/><Relationship Id="rId28" Type="http://schemas.openxmlformats.org/officeDocument/2006/relationships/hyperlink" Target="mailto:gaelle7801@live.fr" TargetMode="External"/><Relationship Id="rId49" Type="http://schemas.openxmlformats.org/officeDocument/2006/relationships/hyperlink" Target="mailto:evanlierde@coldsetprintingpartners.be" TargetMode="External"/><Relationship Id="rId114" Type="http://schemas.openxmlformats.org/officeDocument/2006/relationships/hyperlink" Target="mailto:markuspalm@hotmail.de" TargetMode="External"/><Relationship Id="rId275" Type="http://schemas.openxmlformats.org/officeDocument/2006/relationships/hyperlink" Target="mailto:martina.gerbig@gmx.de" TargetMode="External"/><Relationship Id="rId296" Type="http://schemas.openxmlformats.org/officeDocument/2006/relationships/hyperlink" Target="mailto:dwi@bluewin.ch" TargetMode="External"/><Relationship Id="rId300" Type="http://schemas.openxmlformats.org/officeDocument/2006/relationships/hyperlink" Target="mailto:buechi.regi@gmail.com" TargetMode="External"/><Relationship Id="rId60" Type="http://schemas.openxmlformats.org/officeDocument/2006/relationships/hyperlink" Target="mailto:rolland.josee@gmail.com" TargetMode="External"/><Relationship Id="rId81" Type="http://schemas.openxmlformats.org/officeDocument/2006/relationships/hyperlink" Target="mailto:joerg.gottwald@hotmail.de" TargetMode="External"/><Relationship Id="rId135" Type="http://schemas.openxmlformats.org/officeDocument/2006/relationships/hyperlink" Target="mailto:shochreiter@gmx.de" TargetMode="External"/><Relationship Id="rId156" Type="http://schemas.openxmlformats.org/officeDocument/2006/relationships/hyperlink" Target="mailto:ralt@swiss.com" TargetMode="External"/><Relationship Id="rId177" Type="http://schemas.openxmlformats.org/officeDocument/2006/relationships/hyperlink" Target="mailto:rodriguenavlet@hotmail.com" TargetMode="External"/><Relationship Id="rId198" Type="http://schemas.openxmlformats.org/officeDocument/2006/relationships/hyperlink" Target="mailto:unglaub@arcor.de" TargetMode="External"/><Relationship Id="rId321" Type="http://schemas.openxmlformats.org/officeDocument/2006/relationships/hyperlink" Target="mailto:ulrich-stoffers@t-online.de" TargetMode="External"/><Relationship Id="rId202" Type="http://schemas.openxmlformats.org/officeDocument/2006/relationships/hyperlink" Target="mailto:mgecko72@gmail.com" TargetMode="External"/><Relationship Id="rId223" Type="http://schemas.openxmlformats.org/officeDocument/2006/relationships/hyperlink" Target="mailto:to.m@me.com" TargetMode="External"/><Relationship Id="rId244" Type="http://schemas.openxmlformats.org/officeDocument/2006/relationships/hyperlink" Target="mailto:ostsee-traum@web.de" TargetMode="External"/><Relationship Id="rId18" Type="http://schemas.openxmlformats.org/officeDocument/2006/relationships/hyperlink" Target="mailto:rodriguenavlet@hotmail.com" TargetMode="External"/><Relationship Id="rId39" Type="http://schemas.openxmlformats.org/officeDocument/2006/relationships/hyperlink" Target="mailto:duchenenicola@yahoo.fr" TargetMode="External"/><Relationship Id="rId265" Type="http://schemas.openxmlformats.org/officeDocument/2006/relationships/hyperlink" Target="mailto:rachelparis99@yahoo.fr" TargetMode="External"/><Relationship Id="rId286" Type="http://schemas.openxmlformats.org/officeDocument/2006/relationships/hyperlink" Target="mailto:info@ipe-ingenieure.de" TargetMode="External"/><Relationship Id="rId50" Type="http://schemas.openxmlformats.org/officeDocument/2006/relationships/hyperlink" Target="mailto:spajean@wanadoo.fr" TargetMode="External"/><Relationship Id="rId104" Type="http://schemas.openxmlformats.org/officeDocument/2006/relationships/hyperlink" Target="mailto:asurbeck@t-online.de" TargetMode="External"/><Relationship Id="rId125" Type="http://schemas.openxmlformats.org/officeDocument/2006/relationships/hyperlink" Target="mailto:mayon23@gmx.de" TargetMode="External"/><Relationship Id="rId146" Type="http://schemas.openxmlformats.org/officeDocument/2006/relationships/hyperlink" Target="mailto:hannelore.hornig@boekenhorst.de" TargetMode="External"/><Relationship Id="rId167" Type="http://schemas.openxmlformats.org/officeDocument/2006/relationships/hyperlink" Target="mailto:julia.poetschke@gmx.net" TargetMode="External"/><Relationship Id="rId188" Type="http://schemas.openxmlformats.org/officeDocument/2006/relationships/hyperlink" Target="mailto:marielayes@orange.fr" TargetMode="External"/><Relationship Id="rId311" Type="http://schemas.openxmlformats.org/officeDocument/2006/relationships/hyperlink" Target="mailto:jonathan.paris35@sfr.fr" TargetMode="External"/><Relationship Id="rId71" Type="http://schemas.openxmlformats.org/officeDocument/2006/relationships/hyperlink" Target="mailto:dinouardnadie@hotmail.fr" TargetMode="External"/><Relationship Id="rId92" Type="http://schemas.openxmlformats.org/officeDocument/2006/relationships/hyperlink" Target="mailto:diane.dupont@ml.etat.lu" TargetMode="External"/><Relationship Id="rId213" Type="http://schemas.openxmlformats.org/officeDocument/2006/relationships/hyperlink" Target="mailto:diane.dupont@ml.etat.lu" TargetMode="External"/><Relationship Id="rId234" Type="http://schemas.openxmlformats.org/officeDocument/2006/relationships/hyperlink" Target="mailto:claudia101175@yahoo.de" TargetMode="External"/><Relationship Id="rId2" Type="http://schemas.openxmlformats.org/officeDocument/2006/relationships/hyperlink" Target="mailto:sebastien.cornu@bluewin.ch" TargetMode="External"/><Relationship Id="rId29" Type="http://schemas.openxmlformats.org/officeDocument/2006/relationships/hyperlink" Target="mailto:biggil@hotmail.de" TargetMode="External"/><Relationship Id="rId255" Type="http://schemas.openxmlformats.org/officeDocument/2006/relationships/hyperlink" Target="mailto:c.hueltenschmidt@yahoo.de" TargetMode="External"/><Relationship Id="rId276" Type="http://schemas.openxmlformats.org/officeDocument/2006/relationships/hyperlink" Target="mailto:to.m@me.com" TargetMode="External"/><Relationship Id="rId297" Type="http://schemas.openxmlformats.org/officeDocument/2006/relationships/hyperlink" Target="mailto:pinarello20144@yahoo.de" TargetMode="External"/><Relationship Id="rId40" Type="http://schemas.openxmlformats.org/officeDocument/2006/relationships/hyperlink" Target="mailto:dede7@pt.lu" TargetMode="External"/><Relationship Id="rId115" Type="http://schemas.openxmlformats.org/officeDocument/2006/relationships/hyperlink" Target="mailto:nadia.koesters@gmx.de" TargetMode="External"/><Relationship Id="rId136" Type="http://schemas.openxmlformats.org/officeDocument/2006/relationships/hyperlink" Target="mailto:sanerlucia@gmail.com" TargetMode="External"/><Relationship Id="rId157" Type="http://schemas.openxmlformats.org/officeDocument/2006/relationships/hyperlink" Target="mailto:giesing-wegner@web.de" TargetMode="External"/><Relationship Id="rId178" Type="http://schemas.openxmlformats.org/officeDocument/2006/relationships/hyperlink" Target="mailto:brigittechanteloube@wanadoo.fr" TargetMode="External"/><Relationship Id="rId301" Type="http://schemas.openxmlformats.org/officeDocument/2006/relationships/hyperlink" Target="mailto:ampouplier@gmail.com" TargetMode="External"/><Relationship Id="rId322" Type="http://schemas.openxmlformats.org/officeDocument/2006/relationships/hyperlink" Target="mailto:jens.kromschroeder@web.de" TargetMode="External"/><Relationship Id="rId61" Type="http://schemas.openxmlformats.org/officeDocument/2006/relationships/hyperlink" Target="mailto:silvio_kell@yahoo.de" TargetMode="External"/><Relationship Id="rId82" Type="http://schemas.openxmlformats.org/officeDocument/2006/relationships/hyperlink" Target="mailto:tran.giang@me.com" TargetMode="External"/><Relationship Id="rId199" Type="http://schemas.openxmlformats.org/officeDocument/2006/relationships/hyperlink" Target="mailto:jens.kromschroeder@web.de" TargetMode="External"/><Relationship Id="rId203" Type="http://schemas.openxmlformats.org/officeDocument/2006/relationships/hyperlink" Target="mailto:thalinchen75@gmx.de" TargetMode="External"/><Relationship Id="rId19" Type="http://schemas.openxmlformats.org/officeDocument/2006/relationships/hyperlink" Target="mailto:jutta.holnburger@gmx.de" TargetMode="External"/><Relationship Id="rId224" Type="http://schemas.openxmlformats.org/officeDocument/2006/relationships/hyperlink" Target="mailto:giesing-wegner@web.de" TargetMode="External"/><Relationship Id="rId245" Type="http://schemas.openxmlformats.org/officeDocument/2006/relationships/hyperlink" Target="mailto:thomaskrebs@gmx.ch" TargetMode="External"/><Relationship Id="rId266" Type="http://schemas.openxmlformats.org/officeDocument/2006/relationships/hyperlink" Target="mailto:joegiesi@hotmail.com" TargetMode="External"/><Relationship Id="rId287" Type="http://schemas.openxmlformats.org/officeDocument/2006/relationships/hyperlink" Target="mailto:sandra.erbacher@t-online.de" TargetMode="External"/><Relationship Id="rId30" Type="http://schemas.openxmlformats.org/officeDocument/2006/relationships/hyperlink" Target="mailto:christiane.schmitzberger@numericable.fr" TargetMode="External"/><Relationship Id="rId105" Type="http://schemas.openxmlformats.org/officeDocument/2006/relationships/hyperlink" Target="mailto:star_moon4@hotmail.com" TargetMode="External"/><Relationship Id="rId126" Type="http://schemas.openxmlformats.org/officeDocument/2006/relationships/hyperlink" Target="mailto:diane.dupont@ml.etat.lu" TargetMode="External"/><Relationship Id="rId147" Type="http://schemas.openxmlformats.org/officeDocument/2006/relationships/hyperlink" Target="mailto:giesing-wegner@web.de" TargetMode="External"/><Relationship Id="rId168" Type="http://schemas.openxmlformats.org/officeDocument/2006/relationships/hyperlink" Target="mailto:eva@allartz.de" TargetMode="External"/><Relationship Id="rId312" Type="http://schemas.openxmlformats.org/officeDocument/2006/relationships/hyperlink" Target="mailto:jaspar.cedric@hotmail.com" TargetMode="External"/><Relationship Id="rId51" Type="http://schemas.openxmlformats.org/officeDocument/2006/relationships/hyperlink" Target="mailto:marchal@woodfashion.com" TargetMode="External"/><Relationship Id="rId72" Type="http://schemas.openxmlformats.org/officeDocument/2006/relationships/hyperlink" Target="mailto:nathalie.bourson@education.lu" TargetMode="External"/><Relationship Id="rId93" Type="http://schemas.openxmlformats.org/officeDocument/2006/relationships/hyperlink" Target="mailto:sandra@rudelwohl-zach.de" TargetMode="External"/><Relationship Id="rId189" Type="http://schemas.openxmlformats.org/officeDocument/2006/relationships/hyperlink" Target="mailto:angelika.mehl@t-online.de" TargetMode="External"/><Relationship Id="rId3" Type="http://schemas.openxmlformats.org/officeDocument/2006/relationships/hyperlink" Target="mailto:denis.minel@laposte.net" TargetMode="External"/><Relationship Id="rId214" Type="http://schemas.openxmlformats.org/officeDocument/2006/relationships/hyperlink" Target="mailto:anjaspecht75@googlemail.com" TargetMode="External"/><Relationship Id="rId235" Type="http://schemas.openxmlformats.org/officeDocument/2006/relationships/hyperlink" Target="mailto:huemer.martina@gmail.com" TargetMode="External"/><Relationship Id="rId256" Type="http://schemas.openxmlformats.org/officeDocument/2006/relationships/hyperlink" Target="mailto:e-kar@hotmail.de" TargetMode="External"/><Relationship Id="rId277" Type="http://schemas.openxmlformats.org/officeDocument/2006/relationships/hyperlink" Target="mailto:to.m@me.com" TargetMode="External"/><Relationship Id="rId298" Type="http://schemas.openxmlformats.org/officeDocument/2006/relationships/hyperlink" Target="mailto:sophie2663@hotmail.fr" TargetMode="External"/><Relationship Id="rId116" Type="http://schemas.openxmlformats.org/officeDocument/2006/relationships/hyperlink" Target="mailto:canderslemkens@aol.com" TargetMode="External"/><Relationship Id="rId137" Type="http://schemas.openxmlformats.org/officeDocument/2006/relationships/hyperlink" Target="mailto:danysilver812@gmail.com" TargetMode="External"/><Relationship Id="rId158" Type="http://schemas.openxmlformats.org/officeDocument/2006/relationships/hyperlink" Target="mailto:tanjaS1990@gmx.net" TargetMode="External"/><Relationship Id="rId302" Type="http://schemas.openxmlformats.org/officeDocument/2006/relationships/hyperlink" Target="mailto:sabi88tedesco@gmail.com" TargetMode="External"/><Relationship Id="rId323" Type="http://schemas.openxmlformats.org/officeDocument/2006/relationships/hyperlink" Target="mailto:arnold.madeleine@bluewin.ch" TargetMode="External"/><Relationship Id="rId20" Type="http://schemas.openxmlformats.org/officeDocument/2006/relationships/hyperlink" Target="mailto:markus.kandels@web.de" TargetMode="External"/><Relationship Id="rId41" Type="http://schemas.openxmlformats.org/officeDocument/2006/relationships/hyperlink" Target="mailto:tilo@gmx.de" TargetMode="External"/><Relationship Id="rId62" Type="http://schemas.openxmlformats.org/officeDocument/2006/relationships/hyperlink" Target="mailto:kuppler2@t-online.de" TargetMode="External"/><Relationship Id="rId83" Type="http://schemas.openxmlformats.org/officeDocument/2006/relationships/hyperlink" Target="mailto:nathalie.bourson@education.lu" TargetMode="External"/><Relationship Id="rId179" Type="http://schemas.openxmlformats.org/officeDocument/2006/relationships/hyperlink" Target="mailto:gmmanzi@aol.com" TargetMode="External"/><Relationship Id="rId190" Type="http://schemas.openxmlformats.org/officeDocument/2006/relationships/hyperlink" Target="mailto:martine.geib@education.lu" TargetMode="External"/><Relationship Id="rId204" Type="http://schemas.openxmlformats.org/officeDocument/2006/relationships/hyperlink" Target="mailto:jens.kromschroeder@web.de" TargetMode="External"/><Relationship Id="rId225" Type="http://schemas.openxmlformats.org/officeDocument/2006/relationships/hyperlink" Target="mailto:familie.tilmann@bluewin.ch" TargetMode="External"/><Relationship Id="rId246" Type="http://schemas.openxmlformats.org/officeDocument/2006/relationships/hyperlink" Target="mailto:sophie2663@hotmail.fr" TargetMode="External"/><Relationship Id="rId267" Type="http://schemas.openxmlformats.org/officeDocument/2006/relationships/hyperlink" Target="mailto:Rita.Strackbein@diskurs.net" TargetMode="External"/><Relationship Id="rId288" Type="http://schemas.openxmlformats.org/officeDocument/2006/relationships/hyperlink" Target="mailto:berebel@gmx.de" TargetMode="External"/><Relationship Id="rId106" Type="http://schemas.openxmlformats.org/officeDocument/2006/relationships/hyperlink" Target="mailto:rckuhn@web.de" TargetMode="External"/><Relationship Id="rId127" Type="http://schemas.openxmlformats.org/officeDocument/2006/relationships/hyperlink" Target="mailto:d.nelle@icloud.com" TargetMode="External"/><Relationship Id="rId313" Type="http://schemas.openxmlformats.org/officeDocument/2006/relationships/hyperlink" Target="mailto:hockamp@eyenovation.de" TargetMode="External"/><Relationship Id="rId10" Type="http://schemas.openxmlformats.org/officeDocument/2006/relationships/hyperlink" Target="mailto:mic.ti@orange.fr" TargetMode="External"/><Relationship Id="rId31" Type="http://schemas.openxmlformats.org/officeDocument/2006/relationships/hyperlink" Target="mailto:movet.jean-pierre@neuf.fr" TargetMode="External"/><Relationship Id="rId52" Type="http://schemas.openxmlformats.org/officeDocument/2006/relationships/hyperlink" Target="mailto:dres.sander@web.de" TargetMode="External"/><Relationship Id="rId73" Type="http://schemas.openxmlformats.org/officeDocument/2006/relationships/hyperlink" Target="mailto:peggy.wolsfeld@education.lu" TargetMode="External"/><Relationship Id="rId94" Type="http://schemas.openxmlformats.org/officeDocument/2006/relationships/hyperlink" Target="mailto:k.nemeth24@googlemail.com" TargetMode="External"/><Relationship Id="rId148" Type="http://schemas.openxmlformats.org/officeDocument/2006/relationships/hyperlink" Target="mailto:gesa.spike@gmx.de" TargetMode="External"/><Relationship Id="rId169" Type="http://schemas.openxmlformats.org/officeDocument/2006/relationships/hyperlink" Target="mailto:auftrittebert@aol.com" TargetMode="External"/><Relationship Id="rId4" Type="http://schemas.openxmlformats.org/officeDocument/2006/relationships/hyperlink" Target="mailto:wallnergmbh@t-online.de" TargetMode="External"/><Relationship Id="rId180" Type="http://schemas.openxmlformats.org/officeDocument/2006/relationships/hyperlink" Target="mailto:katrin.fahr@googlemail.com" TargetMode="External"/><Relationship Id="rId215" Type="http://schemas.openxmlformats.org/officeDocument/2006/relationships/hyperlink" Target="mailto:jbrinkmann64@web.de" TargetMode="External"/><Relationship Id="rId236" Type="http://schemas.openxmlformats.org/officeDocument/2006/relationships/hyperlink" Target="mailto:blumen.glantschnig@telfs.com" TargetMode="External"/><Relationship Id="rId257" Type="http://schemas.openxmlformats.org/officeDocument/2006/relationships/hyperlink" Target="mailto:susanne.schneider@securat.de" TargetMode="External"/><Relationship Id="rId278" Type="http://schemas.openxmlformats.org/officeDocument/2006/relationships/hyperlink" Target="mailto:mail@astridbrecht.de" TargetMode="External"/><Relationship Id="rId303" Type="http://schemas.openxmlformats.org/officeDocument/2006/relationships/hyperlink" Target="mailto:andiunicki@t-online.de" TargetMode="External"/><Relationship Id="rId42" Type="http://schemas.openxmlformats.org/officeDocument/2006/relationships/hyperlink" Target="mailto:nadja@schlup.net" TargetMode="External"/><Relationship Id="rId84" Type="http://schemas.openxmlformats.org/officeDocument/2006/relationships/hyperlink" Target="mailto:x-oph@gmx.net" TargetMode="External"/><Relationship Id="rId138" Type="http://schemas.openxmlformats.org/officeDocument/2006/relationships/hyperlink" Target="mailto:david.mueller@gmx.org" TargetMode="External"/><Relationship Id="rId191" Type="http://schemas.openxmlformats.org/officeDocument/2006/relationships/hyperlink" Target="mailto:kristellpouliquen@hotmail.fr" TargetMode="External"/><Relationship Id="rId205" Type="http://schemas.openxmlformats.org/officeDocument/2006/relationships/hyperlink" Target="mailto:s.g.blenk@gmail.com" TargetMode="External"/><Relationship Id="rId247" Type="http://schemas.openxmlformats.org/officeDocument/2006/relationships/hyperlink" Target="mailto:sabine.haubenthal@gmx.de" TargetMode="External"/><Relationship Id="rId107" Type="http://schemas.openxmlformats.org/officeDocument/2006/relationships/hyperlink" Target="mailto:nicole.kuss@stadt.graz.at" TargetMode="External"/><Relationship Id="rId289" Type="http://schemas.openxmlformats.org/officeDocument/2006/relationships/hyperlink" Target="mailto:melli.marwede@gmail.com" TargetMode="External"/><Relationship Id="rId11" Type="http://schemas.openxmlformats.org/officeDocument/2006/relationships/hyperlink" Target="mailto:wunderhorn@t-online.de" TargetMode="External"/><Relationship Id="rId53" Type="http://schemas.openxmlformats.org/officeDocument/2006/relationships/hyperlink" Target="mailto:erwanhubert@free.fr" TargetMode="External"/><Relationship Id="rId149" Type="http://schemas.openxmlformats.org/officeDocument/2006/relationships/hyperlink" Target="mailto:fc@licker.de" TargetMode="External"/><Relationship Id="rId314" Type="http://schemas.openxmlformats.org/officeDocument/2006/relationships/hyperlink" Target="mailto:regis.guillet44@gmail.com" TargetMode="External"/><Relationship Id="rId95" Type="http://schemas.openxmlformats.org/officeDocument/2006/relationships/hyperlink" Target="mailto:sandra@broekmann.de" TargetMode="External"/><Relationship Id="rId160" Type="http://schemas.openxmlformats.org/officeDocument/2006/relationships/hyperlink" Target="mailto:u.wirth@alowag.ch" TargetMode="External"/><Relationship Id="rId216" Type="http://schemas.openxmlformats.org/officeDocument/2006/relationships/hyperlink" Target="mailto:w.heimbuechel@t-online.de" TargetMode="External"/><Relationship Id="rId258" Type="http://schemas.openxmlformats.org/officeDocument/2006/relationships/hyperlink" Target="mailto:sanzell75@gmx.de" TargetMode="External"/><Relationship Id="rId22" Type="http://schemas.openxmlformats.org/officeDocument/2006/relationships/hyperlink" Target="mailto:heimuehle@t-online.de" TargetMode="External"/><Relationship Id="rId64" Type="http://schemas.openxmlformats.org/officeDocument/2006/relationships/hyperlink" Target="mailto:axelschreiter@yahoo.de" TargetMode="External"/><Relationship Id="rId118" Type="http://schemas.openxmlformats.org/officeDocument/2006/relationships/hyperlink" Target="mailto:faber@freiburger-buchhalter.com" TargetMode="External"/><Relationship Id="rId325" Type="http://schemas.openxmlformats.org/officeDocument/2006/relationships/hyperlink" Target="mailto:lorenz.volker52@gmail.com" TargetMode="External"/><Relationship Id="rId171" Type="http://schemas.openxmlformats.org/officeDocument/2006/relationships/hyperlink" Target="mailto:diane.dupont@ml.etat.lu" TargetMode="External"/><Relationship Id="rId227" Type="http://schemas.openxmlformats.org/officeDocument/2006/relationships/hyperlink" Target="mailto:marc.feyenklassen@gmail.com" TargetMode="External"/><Relationship Id="rId269" Type="http://schemas.openxmlformats.org/officeDocument/2006/relationships/hyperlink" Target="mailto:rinderer.anna@gmx.at" TargetMode="External"/><Relationship Id="rId33" Type="http://schemas.openxmlformats.org/officeDocument/2006/relationships/hyperlink" Target="mailto:guenterkrauch@web.de" TargetMode="External"/><Relationship Id="rId129" Type="http://schemas.openxmlformats.org/officeDocument/2006/relationships/hyperlink" Target="mailto:ludovicthebault@yahoo.com" TargetMode="External"/><Relationship Id="rId280" Type="http://schemas.openxmlformats.org/officeDocument/2006/relationships/hyperlink" Target="mailto:hannelore.stock@t-online.de" TargetMode="External"/><Relationship Id="rId75" Type="http://schemas.openxmlformats.org/officeDocument/2006/relationships/hyperlink" Target="mailto:astrigl@gmx.de" TargetMode="External"/><Relationship Id="rId140" Type="http://schemas.openxmlformats.org/officeDocument/2006/relationships/hyperlink" Target="mailto:tanjaS1990@gmx.net" TargetMode="External"/><Relationship Id="rId182" Type="http://schemas.openxmlformats.org/officeDocument/2006/relationships/hyperlink" Target="mailto:asurbeck@t-online.de" TargetMode="External"/><Relationship Id="rId6" Type="http://schemas.openxmlformats.org/officeDocument/2006/relationships/hyperlink" Target="mailto:coccinelle60@gmail.com" TargetMode="External"/><Relationship Id="rId238" Type="http://schemas.openxmlformats.org/officeDocument/2006/relationships/hyperlink" Target="mailto:gerfried.knaeble@t-online.de" TargetMode="External"/><Relationship Id="rId291" Type="http://schemas.openxmlformats.org/officeDocument/2006/relationships/hyperlink" Target="mailto:sascha.rastiello@gmail.com" TargetMode="External"/><Relationship Id="rId305" Type="http://schemas.openxmlformats.org/officeDocument/2006/relationships/hyperlink" Target="mailto:bianca.rocco@t-online.de" TargetMode="External"/><Relationship Id="rId44" Type="http://schemas.openxmlformats.org/officeDocument/2006/relationships/hyperlink" Target="mailto:larmadio@wanadoo.fr" TargetMode="External"/><Relationship Id="rId86" Type="http://schemas.openxmlformats.org/officeDocument/2006/relationships/hyperlink" Target="mailto:hortense.everett@gmail.com" TargetMode="External"/><Relationship Id="rId151" Type="http://schemas.openxmlformats.org/officeDocument/2006/relationships/hyperlink" Target="mailto:andreilmes@bluewin.ch" TargetMode="External"/><Relationship Id="rId193" Type="http://schemas.openxmlformats.org/officeDocument/2006/relationships/hyperlink" Target="mailto:naiwreb@aol.com" TargetMode="External"/><Relationship Id="rId207" Type="http://schemas.openxmlformats.org/officeDocument/2006/relationships/hyperlink" Target="mailto:info@ipe-ingenieure.de" TargetMode="External"/><Relationship Id="rId249" Type="http://schemas.openxmlformats.org/officeDocument/2006/relationships/hyperlink" Target="mailto:Heike@Becker-Taunus.de" TargetMode="External"/><Relationship Id="rId13" Type="http://schemas.openxmlformats.org/officeDocument/2006/relationships/hyperlink" Target="mailto:ascholte@pt.lu" TargetMode="External"/><Relationship Id="rId109" Type="http://schemas.openxmlformats.org/officeDocument/2006/relationships/hyperlink" Target="mailto:to.m@me.com" TargetMode="External"/><Relationship Id="rId260" Type="http://schemas.openxmlformats.org/officeDocument/2006/relationships/hyperlink" Target="mailto:jens.kromschroeder@web.de" TargetMode="External"/><Relationship Id="rId316" Type="http://schemas.openxmlformats.org/officeDocument/2006/relationships/hyperlink" Target="mailto:iris31@gmx.at" TargetMode="External"/><Relationship Id="rId55" Type="http://schemas.openxmlformats.org/officeDocument/2006/relationships/hyperlink" Target="mailto:nadja@schlup.net" TargetMode="External"/><Relationship Id="rId97" Type="http://schemas.openxmlformats.org/officeDocument/2006/relationships/hyperlink" Target="mailto:fg@pflegermais.at" TargetMode="External"/><Relationship Id="rId120" Type="http://schemas.openxmlformats.org/officeDocument/2006/relationships/hyperlink" Target="mailto:anny_393@gmx.at" TargetMode="External"/></Relationships>
</file>

<file path=xl/worksheets/_rels/sheet20.xml.rels><?xml version="1.0" encoding="UTF-8" standalone="yes"?>
<Relationships xmlns="http://schemas.openxmlformats.org/package/2006/relationships"><Relationship Id="rId117" Type="http://schemas.openxmlformats.org/officeDocument/2006/relationships/hyperlink" Target="mailto:nicole.kuss@stadt.graz.at" TargetMode="External"/><Relationship Id="rId21" Type="http://schemas.openxmlformats.org/officeDocument/2006/relationships/hyperlink" Target="mailto:jutta.holnburger@gmx.de" TargetMode="External"/><Relationship Id="rId42" Type="http://schemas.openxmlformats.org/officeDocument/2006/relationships/hyperlink" Target="mailto:m.sander@elektrobartels.de" TargetMode="External"/><Relationship Id="rId63" Type="http://schemas.openxmlformats.org/officeDocument/2006/relationships/hyperlink" Target="mailto:dres.sander@web.de" TargetMode="External"/><Relationship Id="rId84" Type="http://schemas.openxmlformats.org/officeDocument/2006/relationships/hyperlink" Target="mailto:dinouardnadie@hotmail.fr" TargetMode="External"/><Relationship Id="rId138" Type="http://schemas.openxmlformats.org/officeDocument/2006/relationships/hyperlink" Target="mailto:diane.dupont@ml.etat.lu" TargetMode="External"/><Relationship Id="rId159" Type="http://schemas.openxmlformats.org/officeDocument/2006/relationships/hyperlink" Target="mailto:hannelore.hornig@boekenhorst.de" TargetMode="External"/><Relationship Id="rId170" Type="http://schemas.openxmlformats.org/officeDocument/2006/relationships/hyperlink" Target="mailto:u.wirth@alowag.ch" TargetMode="External"/><Relationship Id="rId191" Type="http://schemas.openxmlformats.org/officeDocument/2006/relationships/hyperlink" Target="mailto:to.m@me.com" TargetMode="External"/><Relationship Id="rId107" Type="http://schemas.openxmlformats.org/officeDocument/2006/relationships/hyperlink" Target="mailto:fg@pflegermais.at" TargetMode="External"/><Relationship Id="rId11" Type="http://schemas.openxmlformats.org/officeDocument/2006/relationships/hyperlink" Target="mailto:mic.ti@orange.fr" TargetMode="External"/><Relationship Id="rId32" Type="http://schemas.openxmlformats.org/officeDocument/2006/relationships/hyperlink" Target="mailto:biggil@hotmail.de" TargetMode="External"/><Relationship Id="rId53" Type="http://schemas.openxmlformats.org/officeDocument/2006/relationships/hyperlink" Target="mailto:eifelinfo@t-online.de" TargetMode="External"/><Relationship Id="rId74" Type="http://schemas.openxmlformats.org/officeDocument/2006/relationships/hyperlink" Target="mailto:kuppler2@t-online.de" TargetMode="External"/><Relationship Id="rId128" Type="http://schemas.openxmlformats.org/officeDocument/2006/relationships/hyperlink" Target="mailto:sandra@broekmann.de" TargetMode="External"/><Relationship Id="rId149" Type="http://schemas.openxmlformats.org/officeDocument/2006/relationships/hyperlink" Target="mailto:sanerlucia@gmail.com" TargetMode="External"/><Relationship Id="rId5" Type="http://schemas.openxmlformats.org/officeDocument/2006/relationships/hyperlink" Target="mailto:BeateSchweitzer@hotmail.com" TargetMode="External"/><Relationship Id="rId95" Type="http://schemas.openxmlformats.org/officeDocument/2006/relationships/hyperlink" Target="mailto:joerg.gottwald@hotmail.de" TargetMode="External"/><Relationship Id="rId160" Type="http://schemas.openxmlformats.org/officeDocument/2006/relationships/hyperlink" Target="mailto:giesing-wegner@web.de" TargetMode="External"/><Relationship Id="rId181" Type="http://schemas.openxmlformats.org/officeDocument/2006/relationships/hyperlink" Target="mailto:rodriguenavlet@hotmail.com" TargetMode="External"/><Relationship Id="rId22" Type="http://schemas.openxmlformats.org/officeDocument/2006/relationships/hyperlink" Target="mailto:markus.kandels@web.de" TargetMode="External"/><Relationship Id="rId43" Type="http://schemas.openxmlformats.org/officeDocument/2006/relationships/hyperlink" Target="mailto:Fabrice.FLAMME@spw.wallonie.be" TargetMode="External"/><Relationship Id="rId64" Type="http://schemas.openxmlformats.org/officeDocument/2006/relationships/hyperlink" Target="mailto:erwanhubert@free.fr" TargetMode="External"/><Relationship Id="rId118" Type="http://schemas.openxmlformats.org/officeDocument/2006/relationships/hyperlink" Target="mailto:frieder.schaefer@gmx.de" TargetMode="External"/><Relationship Id="rId139" Type="http://schemas.openxmlformats.org/officeDocument/2006/relationships/hyperlink" Target="mailto:d.nelle@icloud.com" TargetMode="External"/><Relationship Id="rId85" Type="http://schemas.openxmlformats.org/officeDocument/2006/relationships/hyperlink" Target="mailto:nathalie.bourson@education.lu" TargetMode="External"/><Relationship Id="rId150" Type="http://schemas.openxmlformats.org/officeDocument/2006/relationships/hyperlink" Target="mailto:danysilver812@gmail.com" TargetMode="External"/><Relationship Id="rId171" Type="http://schemas.openxmlformats.org/officeDocument/2006/relationships/hyperlink" Target="mailto:tierphysio-elber@hotmail.com" TargetMode="External"/><Relationship Id="rId192" Type="http://schemas.openxmlformats.org/officeDocument/2006/relationships/hyperlink" Target="mailto:michaelamandt@yahoo.de" TargetMode="External"/><Relationship Id="rId12" Type="http://schemas.openxmlformats.org/officeDocument/2006/relationships/hyperlink" Target="mailto:wunderhorn@t-online.de" TargetMode="External"/><Relationship Id="rId33" Type="http://schemas.openxmlformats.org/officeDocument/2006/relationships/hyperlink" Target="mailto:christiane.schmitzberger@numericable.fr" TargetMode="External"/><Relationship Id="rId108" Type="http://schemas.openxmlformats.org/officeDocument/2006/relationships/hyperlink" Target="mailto:rodriguenavlet@hotmail.com" TargetMode="External"/><Relationship Id="rId129" Type="http://schemas.openxmlformats.org/officeDocument/2006/relationships/hyperlink" Target="mailto:faber@freiburger-buchhalter.com" TargetMode="External"/><Relationship Id="rId54" Type="http://schemas.openxmlformats.org/officeDocument/2006/relationships/hyperlink" Target="mailto:hans.janse@hetnet.nl" TargetMode="External"/><Relationship Id="rId75" Type="http://schemas.openxmlformats.org/officeDocument/2006/relationships/hyperlink" Target="mailto:sandra@erhart.ch" TargetMode="External"/><Relationship Id="rId96" Type="http://schemas.openxmlformats.org/officeDocument/2006/relationships/hyperlink" Target="mailto:tran.giang@me.com" TargetMode="External"/><Relationship Id="rId140" Type="http://schemas.openxmlformats.org/officeDocument/2006/relationships/hyperlink" Target="mailto:ronmeier@zeelandnet.nl" TargetMode="External"/><Relationship Id="rId161" Type="http://schemas.openxmlformats.org/officeDocument/2006/relationships/hyperlink" Target="mailto:gesa.spike@gmx.de" TargetMode="External"/><Relationship Id="rId182" Type="http://schemas.openxmlformats.org/officeDocument/2006/relationships/hyperlink" Target="mailto:brigittechanteloube@wanadoo.fr" TargetMode="External"/><Relationship Id="rId6" Type="http://schemas.openxmlformats.org/officeDocument/2006/relationships/hyperlink" Target="mailto:coccinelle60@gmail.com" TargetMode="External"/><Relationship Id="rId23" Type="http://schemas.openxmlformats.org/officeDocument/2006/relationships/hyperlink" Target="mailto:peter.seuss@googlemail.com" TargetMode="External"/><Relationship Id="rId119" Type="http://schemas.openxmlformats.org/officeDocument/2006/relationships/hyperlink" Target="mailto:to.m@me.com" TargetMode="External"/><Relationship Id="rId44" Type="http://schemas.openxmlformats.org/officeDocument/2006/relationships/hyperlink" Target="mailto:duchenenicola@yahoo.fr" TargetMode="External"/><Relationship Id="rId65" Type="http://schemas.openxmlformats.org/officeDocument/2006/relationships/hyperlink" Target="mailto:niegengerd@hotmail.com" TargetMode="External"/><Relationship Id="rId86" Type="http://schemas.openxmlformats.org/officeDocument/2006/relationships/hyperlink" Target="mailto:peggy.wolsfeld@education.lu" TargetMode="External"/><Relationship Id="rId130" Type="http://schemas.openxmlformats.org/officeDocument/2006/relationships/hyperlink" Target="mailto:stef-heinrich@web.de" TargetMode="External"/><Relationship Id="rId151" Type="http://schemas.openxmlformats.org/officeDocument/2006/relationships/hyperlink" Target="mailto:david.mueller@gmx.org" TargetMode="External"/><Relationship Id="rId172" Type="http://schemas.openxmlformats.org/officeDocument/2006/relationships/hyperlink" Target="mailto:skjelsvik@sunrise.ch" TargetMode="External"/><Relationship Id="rId13" Type="http://schemas.openxmlformats.org/officeDocument/2006/relationships/hyperlink" Target="mailto:mangold.lth@arcor.de" TargetMode="External"/><Relationship Id="rId18" Type="http://schemas.openxmlformats.org/officeDocument/2006/relationships/hyperlink" Target="mailto:cboedecker@arcor.de" TargetMode="External"/><Relationship Id="rId39" Type="http://schemas.openxmlformats.org/officeDocument/2006/relationships/hyperlink" Target="mailto:kiki.tipunch@wanadoo.fr" TargetMode="External"/><Relationship Id="rId109" Type="http://schemas.openxmlformats.org/officeDocument/2006/relationships/hyperlink" Target="mailto:brigittechanteloube@wanadoo.fr" TargetMode="External"/><Relationship Id="rId34" Type="http://schemas.openxmlformats.org/officeDocument/2006/relationships/hyperlink" Target="mailto:movet.jean-pierre@neuf.fr" TargetMode="External"/><Relationship Id="rId50" Type="http://schemas.openxmlformats.org/officeDocument/2006/relationships/hyperlink" Target="mailto:pepin@ensea.fr" TargetMode="External"/><Relationship Id="rId55" Type="http://schemas.openxmlformats.org/officeDocument/2006/relationships/hyperlink" Target="mailto:davidb39@hotmail.fr" TargetMode="External"/><Relationship Id="rId76" Type="http://schemas.openxmlformats.org/officeDocument/2006/relationships/hyperlink" Target="mailto:axelschreiter@yahoo.de" TargetMode="External"/><Relationship Id="rId97" Type="http://schemas.openxmlformats.org/officeDocument/2006/relationships/hyperlink" Target="mailto:nathalie.bourson@education.lu" TargetMode="External"/><Relationship Id="rId104" Type="http://schemas.openxmlformats.org/officeDocument/2006/relationships/hyperlink" Target="mailto:k.nemeth24@googlemail.com" TargetMode="External"/><Relationship Id="rId120" Type="http://schemas.openxmlformats.org/officeDocument/2006/relationships/hyperlink" Target="mailto:michaelamandt@yahoo.de" TargetMode="External"/><Relationship Id="rId125" Type="http://schemas.openxmlformats.org/officeDocument/2006/relationships/hyperlink" Target="mailto:markuspalm@hotmail.de" TargetMode="External"/><Relationship Id="rId141" Type="http://schemas.openxmlformats.org/officeDocument/2006/relationships/hyperlink" Target="mailto:ludovicthebault@yahoo.com" TargetMode="External"/><Relationship Id="rId146" Type="http://schemas.openxmlformats.org/officeDocument/2006/relationships/hyperlink" Target="mailto:cdoering@mailbox.org" TargetMode="External"/><Relationship Id="rId167" Type="http://schemas.openxmlformats.org/officeDocument/2006/relationships/hyperlink" Target="mailto:alexacgn@gmail.com" TargetMode="External"/><Relationship Id="rId188" Type="http://schemas.openxmlformats.org/officeDocument/2006/relationships/hyperlink" Target="mailto:star_moon4@hotmail.com" TargetMode="External"/><Relationship Id="rId7" Type="http://schemas.openxmlformats.org/officeDocument/2006/relationships/hyperlink" Target="mailto:nadja.scaglione@bluewin.ch" TargetMode="External"/><Relationship Id="rId71" Type="http://schemas.openxmlformats.org/officeDocument/2006/relationships/hyperlink" Target="mailto:tf.thomasfranke@t-online.de" TargetMode="External"/><Relationship Id="rId92" Type="http://schemas.openxmlformats.org/officeDocument/2006/relationships/hyperlink" Target="mailto:herveplateau1@gmail.com" TargetMode="External"/><Relationship Id="rId162" Type="http://schemas.openxmlformats.org/officeDocument/2006/relationships/hyperlink" Target="mailto:jens.kromschroeder@web.de" TargetMode="External"/><Relationship Id="rId183" Type="http://schemas.openxmlformats.org/officeDocument/2006/relationships/hyperlink" Target="mailto:gmmanzi@aol.com" TargetMode="External"/><Relationship Id="rId2" Type="http://schemas.openxmlformats.org/officeDocument/2006/relationships/hyperlink" Target="mailto:sebastien.cornu@bluewin.ch" TargetMode="External"/><Relationship Id="rId29" Type="http://schemas.openxmlformats.org/officeDocument/2006/relationships/hyperlink" Target="mailto:rodriguenavlet@hotmail.com" TargetMode="External"/><Relationship Id="rId24" Type="http://schemas.openxmlformats.org/officeDocument/2006/relationships/hyperlink" Target="mailto:pepin@ensea.fr" TargetMode="External"/><Relationship Id="rId40" Type="http://schemas.openxmlformats.org/officeDocument/2006/relationships/hyperlink" Target="mailto:ed@ip-worldcom.ch" TargetMode="External"/><Relationship Id="rId45" Type="http://schemas.openxmlformats.org/officeDocument/2006/relationships/hyperlink" Target="mailto:dede7@pt.lu" TargetMode="External"/><Relationship Id="rId66" Type="http://schemas.openxmlformats.org/officeDocument/2006/relationships/hyperlink" Target="mailto:nadja@schlup.net" TargetMode="External"/><Relationship Id="rId87" Type="http://schemas.openxmlformats.org/officeDocument/2006/relationships/hyperlink" Target="mailto:cbtkw@email.de" TargetMode="External"/><Relationship Id="rId110" Type="http://schemas.openxmlformats.org/officeDocument/2006/relationships/hyperlink" Target="mailto:gmmanzi@aol.com" TargetMode="External"/><Relationship Id="rId115" Type="http://schemas.openxmlformats.org/officeDocument/2006/relationships/hyperlink" Target="mailto:star_moon4@hotmail.com" TargetMode="External"/><Relationship Id="rId131" Type="http://schemas.openxmlformats.org/officeDocument/2006/relationships/hyperlink" Target="mailto:anny_393@gmx.at" TargetMode="External"/><Relationship Id="rId136" Type="http://schemas.openxmlformats.org/officeDocument/2006/relationships/hyperlink" Target="mailto:to.m@me.com" TargetMode="External"/><Relationship Id="rId157" Type="http://schemas.openxmlformats.org/officeDocument/2006/relationships/hyperlink" Target="mailto:pedro-l@bluemail.ch" TargetMode="External"/><Relationship Id="rId178" Type="http://schemas.openxmlformats.org/officeDocument/2006/relationships/hyperlink" Target="mailto:sandra@broekmann.de" TargetMode="External"/><Relationship Id="rId61" Type="http://schemas.openxmlformats.org/officeDocument/2006/relationships/hyperlink" Target="mailto:spajean@wanadoo.fr" TargetMode="External"/><Relationship Id="rId82" Type="http://schemas.openxmlformats.org/officeDocument/2006/relationships/hyperlink" Target="mailto:paloma13@gmx.de" TargetMode="External"/><Relationship Id="rId152" Type="http://schemas.openxmlformats.org/officeDocument/2006/relationships/hyperlink" Target="mailto:joachim.kleist@gmx.net" TargetMode="External"/><Relationship Id="rId173" Type="http://schemas.openxmlformats.org/officeDocument/2006/relationships/hyperlink" Target="mailto:didier.priolet@free.fr" TargetMode="External"/><Relationship Id="rId19" Type="http://schemas.openxmlformats.org/officeDocument/2006/relationships/hyperlink" Target="mailto:rodriguenavlet@hotmail.com" TargetMode="External"/><Relationship Id="rId14" Type="http://schemas.openxmlformats.org/officeDocument/2006/relationships/hyperlink" Target="mailto:ascholte@pt.lu" TargetMode="External"/><Relationship Id="rId30" Type="http://schemas.openxmlformats.org/officeDocument/2006/relationships/hyperlink" Target="mailto:pierre.chalard@univ-bpclermont.fr" TargetMode="External"/><Relationship Id="rId35" Type="http://schemas.openxmlformats.org/officeDocument/2006/relationships/hyperlink" Target="mailto:ghieronimus@live.fr" TargetMode="External"/><Relationship Id="rId56" Type="http://schemas.openxmlformats.org/officeDocument/2006/relationships/hyperlink" Target="mailto:ingrid.hanisch@freenet.de" TargetMode="External"/><Relationship Id="rId77" Type="http://schemas.openxmlformats.org/officeDocument/2006/relationships/hyperlink" Target="mailto:christele.mace@numericable.fr" TargetMode="External"/><Relationship Id="rId100" Type="http://schemas.openxmlformats.org/officeDocument/2006/relationships/hyperlink" Target="mailto:hortense.everett@gmail.com" TargetMode="External"/><Relationship Id="rId105" Type="http://schemas.openxmlformats.org/officeDocument/2006/relationships/hyperlink" Target="mailto:sandra@broekmann.de" TargetMode="External"/><Relationship Id="rId126" Type="http://schemas.openxmlformats.org/officeDocument/2006/relationships/hyperlink" Target="mailto:nadia.koesters@gmx.de" TargetMode="External"/><Relationship Id="rId147" Type="http://schemas.openxmlformats.org/officeDocument/2006/relationships/hyperlink" Target="mailto:zobjackm@yahoo.de" TargetMode="External"/><Relationship Id="rId168" Type="http://schemas.openxmlformats.org/officeDocument/2006/relationships/hyperlink" Target="mailto:ralt@swiss.com" TargetMode="External"/><Relationship Id="rId8" Type="http://schemas.openxmlformats.org/officeDocument/2006/relationships/hyperlink" Target="mailto:b.meyer-lueters@videx.de" TargetMode="External"/><Relationship Id="rId51" Type="http://schemas.openxmlformats.org/officeDocument/2006/relationships/hyperlink" Target="mailto:kerri1409@googlemail.com" TargetMode="External"/><Relationship Id="rId72" Type="http://schemas.openxmlformats.org/officeDocument/2006/relationships/hyperlink" Target="mailto:rolland.josee@gmail.com" TargetMode="External"/><Relationship Id="rId93" Type="http://schemas.openxmlformats.org/officeDocument/2006/relationships/hyperlink" Target="mailto:elke@betten-hausen.de" TargetMode="External"/><Relationship Id="rId98" Type="http://schemas.openxmlformats.org/officeDocument/2006/relationships/hyperlink" Target="mailto:x-oph@gmx.net" TargetMode="External"/><Relationship Id="rId121" Type="http://schemas.openxmlformats.org/officeDocument/2006/relationships/hyperlink" Target="mailto:joyo67_04@yahoo.com" TargetMode="External"/><Relationship Id="rId142" Type="http://schemas.openxmlformats.org/officeDocument/2006/relationships/hyperlink" Target="mailto:mail@birgithoffmann.com" TargetMode="External"/><Relationship Id="rId163" Type="http://schemas.openxmlformats.org/officeDocument/2006/relationships/hyperlink" Target="mailto:andreilmes@bluewin.ch" TargetMode="External"/><Relationship Id="rId184" Type="http://schemas.openxmlformats.org/officeDocument/2006/relationships/hyperlink" Target="mailto:katrin.fahr@googlemail.com" TargetMode="External"/><Relationship Id="rId189" Type="http://schemas.openxmlformats.org/officeDocument/2006/relationships/hyperlink" Target="mailto:rckuhn@web.de" TargetMode="External"/><Relationship Id="rId3" Type="http://schemas.openxmlformats.org/officeDocument/2006/relationships/hyperlink" Target="mailto:denis.minel@laposte.net" TargetMode="External"/><Relationship Id="rId25" Type="http://schemas.openxmlformats.org/officeDocument/2006/relationships/hyperlink" Target="mailto:heimuehle@t-online.de" TargetMode="External"/><Relationship Id="rId46" Type="http://schemas.openxmlformats.org/officeDocument/2006/relationships/hyperlink" Target="mailto:nadine.schuler@uniklinikum-saarland.de" TargetMode="External"/><Relationship Id="rId67" Type="http://schemas.openxmlformats.org/officeDocument/2006/relationships/hyperlink" Target="mailto:c.urban@hamburg.de" TargetMode="External"/><Relationship Id="rId116" Type="http://schemas.openxmlformats.org/officeDocument/2006/relationships/hyperlink" Target="mailto:rckuhn@web.de" TargetMode="External"/><Relationship Id="rId137" Type="http://schemas.openxmlformats.org/officeDocument/2006/relationships/hyperlink" Target="mailto:mayon23@gmx.de" TargetMode="External"/><Relationship Id="rId158" Type="http://schemas.openxmlformats.org/officeDocument/2006/relationships/hyperlink" Target="mailto:nadja@auraseta.ch" TargetMode="External"/><Relationship Id="rId20" Type="http://schemas.openxmlformats.org/officeDocument/2006/relationships/hyperlink" Target="mailto:m.moussie@numericable.com" TargetMode="External"/><Relationship Id="rId41" Type="http://schemas.openxmlformats.org/officeDocument/2006/relationships/hyperlink" Target="mailto:andreas.grimm2@web.de" TargetMode="External"/><Relationship Id="rId62" Type="http://schemas.openxmlformats.org/officeDocument/2006/relationships/hyperlink" Target="mailto:marchal@woodfashion.com" TargetMode="External"/><Relationship Id="rId83" Type="http://schemas.openxmlformats.org/officeDocument/2006/relationships/hyperlink" Target="mailto:rainer.wittemann@hotmail.de" TargetMode="External"/><Relationship Id="rId88" Type="http://schemas.openxmlformats.org/officeDocument/2006/relationships/hyperlink" Target="mailto:astrigl@gmx.de" TargetMode="External"/><Relationship Id="rId111" Type="http://schemas.openxmlformats.org/officeDocument/2006/relationships/hyperlink" Target="mailto:katrin.fahr@googlemail.com" TargetMode="External"/><Relationship Id="rId132" Type="http://schemas.openxmlformats.org/officeDocument/2006/relationships/hyperlink" Target="mailto:ryser.ittigen@bluewin.ch" TargetMode="External"/><Relationship Id="rId153" Type="http://schemas.openxmlformats.org/officeDocument/2006/relationships/hyperlink" Target="mailto:tanjaS1990@gmx.net" TargetMode="External"/><Relationship Id="rId174" Type="http://schemas.openxmlformats.org/officeDocument/2006/relationships/hyperlink" Target="mailto:family@schlup.net" TargetMode="External"/><Relationship Id="rId179" Type="http://schemas.openxmlformats.org/officeDocument/2006/relationships/hyperlink" Target="mailto:kmercedes300@aol.com" TargetMode="External"/><Relationship Id="rId190" Type="http://schemas.openxmlformats.org/officeDocument/2006/relationships/hyperlink" Target="mailto:frieder.schaefer@gmx.de" TargetMode="External"/><Relationship Id="rId15" Type="http://schemas.openxmlformats.org/officeDocument/2006/relationships/hyperlink" Target="mailto:christina.gerberding@t-online.de" TargetMode="External"/><Relationship Id="rId36" Type="http://schemas.openxmlformats.org/officeDocument/2006/relationships/hyperlink" Target="mailto:ebschmitter@bluewin.ch" TargetMode="External"/><Relationship Id="rId57" Type="http://schemas.openxmlformats.org/officeDocument/2006/relationships/hyperlink" Target="mailto:tmuellerteufel@email.de" TargetMode="External"/><Relationship Id="rId106" Type="http://schemas.openxmlformats.org/officeDocument/2006/relationships/hyperlink" Target="mailto:kmercedes300@aol.com" TargetMode="External"/><Relationship Id="rId127" Type="http://schemas.openxmlformats.org/officeDocument/2006/relationships/hyperlink" Target="mailto:canderslemkens@aol.com" TargetMode="External"/><Relationship Id="rId10" Type="http://schemas.openxmlformats.org/officeDocument/2006/relationships/hyperlink" Target="mailto:mascha@blatow.de" TargetMode="External"/><Relationship Id="rId31" Type="http://schemas.openxmlformats.org/officeDocument/2006/relationships/hyperlink" Target="mailto:gaelle7801@live.fr" TargetMode="External"/><Relationship Id="rId52" Type="http://schemas.openxmlformats.org/officeDocument/2006/relationships/hyperlink" Target="mailto:larmadio@wanadoo.fr" TargetMode="External"/><Relationship Id="rId73" Type="http://schemas.openxmlformats.org/officeDocument/2006/relationships/hyperlink" Target="mailto:silvio_kell@yahoo.de" TargetMode="External"/><Relationship Id="rId78" Type="http://schemas.openxmlformats.org/officeDocument/2006/relationships/hyperlink" Target="mailto:erwanhubert@free.fr" TargetMode="External"/><Relationship Id="rId94" Type="http://schemas.openxmlformats.org/officeDocument/2006/relationships/hyperlink" Target="mailto:brendaruck@zeelandnet.nl" TargetMode="External"/><Relationship Id="rId99" Type="http://schemas.openxmlformats.org/officeDocument/2006/relationships/hyperlink" Target="mailto:erwanhubert@free.fr" TargetMode="External"/><Relationship Id="rId101" Type="http://schemas.openxmlformats.org/officeDocument/2006/relationships/hyperlink" Target="mailto:family@schlup.net" TargetMode="External"/><Relationship Id="rId122" Type="http://schemas.openxmlformats.org/officeDocument/2006/relationships/hyperlink" Target="mailto:alwin_steiner@gmx.de" TargetMode="External"/><Relationship Id="rId143" Type="http://schemas.openxmlformats.org/officeDocument/2006/relationships/hyperlink" Target="mailto:tamara.d.hersperger@gmail.com" TargetMode="External"/><Relationship Id="rId148" Type="http://schemas.openxmlformats.org/officeDocument/2006/relationships/hyperlink" Target="mailto:shochreiter@gmx.de" TargetMode="External"/><Relationship Id="rId164" Type="http://schemas.openxmlformats.org/officeDocument/2006/relationships/hyperlink" Target="mailto:info@hof-luckmann.de" TargetMode="External"/><Relationship Id="rId169" Type="http://schemas.openxmlformats.org/officeDocument/2006/relationships/hyperlink" Target="mailto:audrey.morvan77176@gmail.com" TargetMode="External"/><Relationship Id="rId185" Type="http://schemas.openxmlformats.org/officeDocument/2006/relationships/hyperlink" Target="mailto:moreaulaurence@free.fr" TargetMode="External"/><Relationship Id="rId4" Type="http://schemas.openxmlformats.org/officeDocument/2006/relationships/hyperlink" Target="mailto:wallnergmbh@t-online.de" TargetMode="External"/><Relationship Id="rId9" Type="http://schemas.openxmlformats.org/officeDocument/2006/relationships/hyperlink" Target="mailto:pepin@ensea.fr" TargetMode="External"/><Relationship Id="rId180" Type="http://schemas.openxmlformats.org/officeDocument/2006/relationships/hyperlink" Target="mailto:fg@pflegermais.at" TargetMode="External"/><Relationship Id="rId26" Type="http://schemas.openxmlformats.org/officeDocument/2006/relationships/hyperlink" Target="mailto:bettina.ri@t-online.de" TargetMode="External"/><Relationship Id="rId47" Type="http://schemas.openxmlformats.org/officeDocument/2006/relationships/hyperlink" Target="mailto:s-demaret@wanadoo.fr" TargetMode="External"/><Relationship Id="rId68" Type="http://schemas.openxmlformats.org/officeDocument/2006/relationships/hyperlink" Target="mailto:sonja.siekkoetter@ewetel.net" TargetMode="External"/><Relationship Id="rId89" Type="http://schemas.openxmlformats.org/officeDocument/2006/relationships/hyperlink" Target="mailto:marjolein@hovingnet.nl" TargetMode="External"/><Relationship Id="rId112" Type="http://schemas.openxmlformats.org/officeDocument/2006/relationships/hyperlink" Target="mailto:moreaulaurence@free.fr" TargetMode="External"/><Relationship Id="rId133" Type="http://schemas.openxmlformats.org/officeDocument/2006/relationships/hyperlink" Target="mailto:beateritter@t-online.de" TargetMode="External"/><Relationship Id="rId154" Type="http://schemas.openxmlformats.org/officeDocument/2006/relationships/hyperlink" Target="mailto:to.m@me.com" TargetMode="External"/><Relationship Id="rId175" Type="http://schemas.openxmlformats.org/officeDocument/2006/relationships/hyperlink" Target="mailto:diane.dupont@ml.etat.lu" TargetMode="External"/><Relationship Id="rId16" Type="http://schemas.openxmlformats.org/officeDocument/2006/relationships/hyperlink" Target="mailto:janine@felix-weber.com" TargetMode="External"/><Relationship Id="rId37" Type="http://schemas.openxmlformats.org/officeDocument/2006/relationships/hyperlink" Target="mailto:guenterkrauch@web.de" TargetMode="External"/><Relationship Id="rId58" Type="http://schemas.openxmlformats.org/officeDocument/2006/relationships/hyperlink" Target="mailto:GrangerM@bsci.com" TargetMode="External"/><Relationship Id="rId79" Type="http://schemas.openxmlformats.org/officeDocument/2006/relationships/hyperlink" Target="mailto:N.koeninger@web.de" TargetMode="External"/><Relationship Id="rId102" Type="http://schemas.openxmlformats.org/officeDocument/2006/relationships/hyperlink" Target="mailto:diane.dupont@ml.etat.lu" TargetMode="External"/><Relationship Id="rId123" Type="http://schemas.openxmlformats.org/officeDocument/2006/relationships/hyperlink" Target="mailto:diane.dupont@ml.etat.lu" TargetMode="External"/><Relationship Id="rId144" Type="http://schemas.openxmlformats.org/officeDocument/2006/relationships/hyperlink" Target="mailto:michelle.schneider@ptworldwide.de" TargetMode="External"/><Relationship Id="rId90" Type="http://schemas.openxmlformats.org/officeDocument/2006/relationships/hyperlink" Target="mailto:odilecarlier@orange.fr" TargetMode="External"/><Relationship Id="rId165" Type="http://schemas.openxmlformats.org/officeDocument/2006/relationships/hyperlink" Target="mailto:jules.serrig@gmail.com" TargetMode="External"/><Relationship Id="rId186" Type="http://schemas.openxmlformats.org/officeDocument/2006/relationships/hyperlink" Target="mailto:f.hain@gmx.de" TargetMode="External"/><Relationship Id="rId27" Type="http://schemas.openxmlformats.org/officeDocument/2006/relationships/hyperlink" Target="mailto:joerg.parzl@mellinundmellin.de" TargetMode="External"/><Relationship Id="rId48" Type="http://schemas.openxmlformats.org/officeDocument/2006/relationships/hyperlink" Target="mailto:tilo@gmx.de" TargetMode="External"/><Relationship Id="rId69" Type="http://schemas.openxmlformats.org/officeDocument/2006/relationships/hyperlink" Target="mailto:lindner1984@yahoo.de" TargetMode="External"/><Relationship Id="rId113" Type="http://schemas.openxmlformats.org/officeDocument/2006/relationships/hyperlink" Target="mailto:f.hain@gmx.de" TargetMode="External"/><Relationship Id="rId134" Type="http://schemas.openxmlformats.org/officeDocument/2006/relationships/hyperlink" Target="mailto:lara.kass@gmail.com" TargetMode="External"/><Relationship Id="rId80" Type="http://schemas.openxmlformats.org/officeDocument/2006/relationships/hyperlink" Target="mailto:Kinderhaus-Hauptmann@web.de" TargetMode="External"/><Relationship Id="rId155" Type="http://schemas.openxmlformats.org/officeDocument/2006/relationships/hyperlink" Target="mailto:thierry.amirgholami@outlook.de" TargetMode="External"/><Relationship Id="rId176" Type="http://schemas.openxmlformats.org/officeDocument/2006/relationships/hyperlink" Target="mailto:sandra@rudelwohl-zach.de" TargetMode="External"/><Relationship Id="rId17" Type="http://schemas.openxmlformats.org/officeDocument/2006/relationships/hyperlink" Target="mailto:hula1@intergga.ch" TargetMode="External"/><Relationship Id="rId38" Type="http://schemas.openxmlformats.org/officeDocument/2006/relationships/hyperlink" Target="mailto:minaluni@yahoo.de" TargetMode="External"/><Relationship Id="rId59" Type="http://schemas.openxmlformats.org/officeDocument/2006/relationships/hyperlink" Target="mailto:christiansen@bk-erkelenz.de" TargetMode="External"/><Relationship Id="rId103" Type="http://schemas.openxmlformats.org/officeDocument/2006/relationships/hyperlink" Target="mailto:sandra@rudelwohl-zach.de" TargetMode="External"/><Relationship Id="rId124" Type="http://schemas.openxmlformats.org/officeDocument/2006/relationships/hyperlink" Target="mailto:ingrid.hanisch@freenet.de" TargetMode="External"/><Relationship Id="rId70" Type="http://schemas.openxmlformats.org/officeDocument/2006/relationships/hyperlink" Target="mailto:sylvie.vla@live.com" TargetMode="External"/><Relationship Id="rId91" Type="http://schemas.openxmlformats.org/officeDocument/2006/relationships/hyperlink" Target="mailto:diane.dupont@ml.etat.lu" TargetMode="External"/><Relationship Id="rId145" Type="http://schemas.openxmlformats.org/officeDocument/2006/relationships/hyperlink" Target="mailto:luna8311@googlemail.com" TargetMode="External"/><Relationship Id="rId166" Type="http://schemas.openxmlformats.org/officeDocument/2006/relationships/hyperlink" Target="mailto:ja@bildhaus.ch" TargetMode="External"/><Relationship Id="rId187" Type="http://schemas.openxmlformats.org/officeDocument/2006/relationships/hyperlink" Target="mailto:asurbeck@t-online.de" TargetMode="External"/><Relationship Id="rId1" Type="http://schemas.openxmlformats.org/officeDocument/2006/relationships/hyperlink" Target="mailto:reinhardt@osw-eschbach.de" TargetMode="External"/><Relationship Id="rId28" Type="http://schemas.openxmlformats.org/officeDocument/2006/relationships/hyperlink" Target="mailto:mruethy@bluewin.ch" TargetMode="External"/><Relationship Id="rId49" Type="http://schemas.openxmlformats.org/officeDocument/2006/relationships/hyperlink" Target="mailto:nadja@schlup.net" TargetMode="External"/><Relationship Id="rId114" Type="http://schemas.openxmlformats.org/officeDocument/2006/relationships/hyperlink" Target="mailto:asurbeck@t-online.de" TargetMode="External"/><Relationship Id="rId60" Type="http://schemas.openxmlformats.org/officeDocument/2006/relationships/hyperlink" Target="mailto:evanlierde@coldsetprintingpartners.be" TargetMode="External"/><Relationship Id="rId81" Type="http://schemas.openxmlformats.org/officeDocument/2006/relationships/hyperlink" Target="mailto:martindoherr@t-online.de" TargetMode="External"/><Relationship Id="rId135" Type="http://schemas.openxmlformats.org/officeDocument/2006/relationships/hyperlink" Target="mailto:odilecarlier@orange.fr" TargetMode="External"/><Relationship Id="rId156" Type="http://schemas.openxmlformats.org/officeDocument/2006/relationships/hyperlink" Target="mailto:zazoo382003@yahoo.de" TargetMode="External"/><Relationship Id="rId177" Type="http://schemas.openxmlformats.org/officeDocument/2006/relationships/hyperlink" Target="mailto:k.nemeth24@googlemail.com" TargetMode="External"/></Relationships>
</file>

<file path=xl/worksheets/_rels/sheet21.xml.rels><?xml version="1.0" encoding="UTF-8" standalone="yes"?>
<Relationships xmlns="http://schemas.openxmlformats.org/package/2006/relationships"><Relationship Id="rId117" Type="http://schemas.openxmlformats.org/officeDocument/2006/relationships/hyperlink" Target="mailto:sandra.smith62@btinternet.com" TargetMode="External"/><Relationship Id="rId21" Type="http://schemas.openxmlformats.org/officeDocument/2006/relationships/hyperlink" Target="mailto:m.moussie@numericable.com" TargetMode="External"/><Relationship Id="rId42" Type="http://schemas.openxmlformats.org/officeDocument/2006/relationships/hyperlink" Target="mailto:andreas.grimm2@web.de" TargetMode="External"/><Relationship Id="rId63" Type="http://schemas.openxmlformats.org/officeDocument/2006/relationships/hyperlink" Target="mailto:spajean@wanadoo.fr" TargetMode="External"/><Relationship Id="rId84" Type="http://schemas.openxmlformats.org/officeDocument/2006/relationships/hyperlink" Target="mailto:Kinderhaus-Hauptmann@web.de" TargetMode="External"/><Relationship Id="rId138" Type="http://schemas.openxmlformats.org/officeDocument/2006/relationships/hyperlink" Target="mailto:katrin.fahr@googlemail.com" TargetMode="External"/><Relationship Id="rId159" Type="http://schemas.openxmlformats.org/officeDocument/2006/relationships/hyperlink" Target="mailto:ryser.ittigen@bluewin.ch" TargetMode="External"/><Relationship Id="rId170" Type="http://schemas.openxmlformats.org/officeDocument/2006/relationships/hyperlink" Target="mailto:tamara.d.hersperger@gmail.com" TargetMode="External"/><Relationship Id="rId191" Type="http://schemas.openxmlformats.org/officeDocument/2006/relationships/hyperlink" Target="mailto:hannelore.hornig@boekenhorst.de" TargetMode="External"/><Relationship Id="rId107" Type="http://schemas.openxmlformats.org/officeDocument/2006/relationships/hyperlink" Target="mailto:hortense.everett@gmail.com" TargetMode="External"/><Relationship Id="rId11" Type="http://schemas.openxmlformats.org/officeDocument/2006/relationships/hyperlink" Target="mailto:mascha@blatow.de" TargetMode="External"/><Relationship Id="rId32" Type="http://schemas.openxmlformats.org/officeDocument/2006/relationships/hyperlink" Target="mailto:gaelle7801@live.fr" TargetMode="External"/><Relationship Id="rId53" Type="http://schemas.openxmlformats.org/officeDocument/2006/relationships/hyperlink" Target="mailto:larmadio@wanadoo.fr" TargetMode="External"/><Relationship Id="rId74" Type="http://schemas.openxmlformats.org/officeDocument/2006/relationships/hyperlink" Target="mailto:sylvie.vla@live.com" TargetMode="External"/><Relationship Id="rId128" Type="http://schemas.openxmlformats.org/officeDocument/2006/relationships/hyperlink" Target="mailto:jeanette@piram.de" TargetMode="External"/><Relationship Id="rId149" Type="http://schemas.openxmlformats.org/officeDocument/2006/relationships/hyperlink" Target="mailto:alwin_steiner@gmx.de" TargetMode="External"/><Relationship Id="rId5" Type="http://schemas.openxmlformats.org/officeDocument/2006/relationships/hyperlink" Target="mailto:BeateSchweitzer@hotmail.com" TargetMode="External"/><Relationship Id="rId95" Type="http://schemas.openxmlformats.org/officeDocument/2006/relationships/hyperlink" Target="mailto:odilecarlier@orange.fr" TargetMode="External"/><Relationship Id="rId160" Type="http://schemas.openxmlformats.org/officeDocument/2006/relationships/hyperlink" Target="mailto:beateritter@t-online.de" TargetMode="External"/><Relationship Id="rId181" Type="http://schemas.openxmlformats.org/officeDocument/2006/relationships/hyperlink" Target="mailto:marc.dewasme@wanadoo.fr" TargetMode="External"/><Relationship Id="rId22" Type="http://schemas.openxmlformats.org/officeDocument/2006/relationships/hyperlink" Target="mailto:jutta.holnburger@gmx.de" TargetMode="External"/><Relationship Id="rId43" Type="http://schemas.openxmlformats.org/officeDocument/2006/relationships/hyperlink" Target="mailto:m.sander@elektrobartels.de" TargetMode="External"/><Relationship Id="rId64" Type="http://schemas.openxmlformats.org/officeDocument/2006/relationships/hyperlink" Target="mailto:marchal@woodfashion.com" TargetMode="External"/><Relationship Id="rId118" Type="http://schemas.openxmlformats.org/officeDocument/2006/relationships/hyperlink" Target="mailto:convento@t-online.de" TargetMode="External"/><Relationship Id="rId139" Type="http://schemas.openxmlformats.org/officeDocument/2006/relationships/hyperlink" Target="mailto:moreaulaurence@free.fr" TargetMode="External"/><Relationship Id="rId85" Type="http://schemas.openxmlformats.org/officeDocument/2006/relationships/hyperlink" Target="mailto:martindoherr@t-online.de" TargetMode="External"/><Relationship Id="rId150" Type="http://schemas.openxmlformats.org/officeDocument/2006/relationships/hyperlink" Target="mailto:diane.dupont@ml.etat.lu" TargetMode="External"/><Relationship Id="rId171" Type="http://schemas.openxmlformats.org/officeDocument/2006/relationships/hyperlink" Target="mailto:michelle.schneider@ptworldwide.de" TargetMode="External"/><Relationship Id="rId192" Type="http://schemas.openxmlformats.org/officeDocument/2006/relationships/hyperlink" Target="mailto:giesing-wegner@web.de" TargetMode="External"/><Relationship Id="rId12" Type="http://schemas.openxmlformats.org/officeDocument/2006/relationships/hyperlink" Target="mailto:mic.ti@orange.fr" TargetMode="External"/><Relationship Id="rId33" Type="http://schemas.openxmlformats.org/officeDocument/2006/relationships/hyperlink" Target="mailto:biggil@hotmail.de" TargetMode="External"/><Relationship Id="rId108" Type="http://schemas.openxmlformats.org/officeDocument/2006/relationships/hyperlink" Target="mailto:info@g-schlatter.ch" TargetMode="External"/><Relationship Id="rId129" Type="http://schemas.openxmlformats.org/officeDocument/2006/relationships/hyperlink" Target="mailto:k.nemeth24@googlemail.com" TargetMode="External"/><Relationship Id="rId54" Type="http://schemas.openxmlformats.org/officeDocument/2006/relationships/hyperlink" Target="mailto:eifelinfo@t-online.de" TargetMode="External"/><Relationship Id="rId75" Type="http://schemas.openxmlformats.org/officeDocument/2006/relationships/hyperlink" Target="mailto:tf.thomasfranke@t-online.de" TargetMode="External"/><Relationship Id="rId96" Type="http://schemas.openxmlformats.org/officeDocument/2006/relationships/hyperlink" Target="mailto:diane.dupont@ml.etat.lu" TargetMode="External"/><Relationship Id="rId140" Type="http://schemas.openxmlformats.org/officeDocument/2006/relationships/hyperlink" Target="mailto:f.hain@gmx.de" TargetMode="External"/><Relationship Id="rId161" Type="http://schemas.openxmlformats.org/officeDocument/2006/relationships/hyperlink" Target="mailto:lara.kass@gmail.com" TargetMode="External"/><Relationship Id="rId182" Type="http://schemas.openxmlformats.org/officeDocument/2006/relationships/hyperlink" Target="mailto:manuelakill@gmx.de" TargetMode="External"/><Relationship Id="rId6" Type="http://schemas.openxmlformats.org/officeDocument/2006/relationships/hyperlink" Target="mailto:coccinelle60@gmail.com" TargetMode="External"/><Relationship Id="rId23" Type="http://schemas.openxmlformats.org/officeDocument/2006/relationships/hyperlink" Target="mailto:markus.kandels@web.de" TargetMode="External"/><Relationship Id="rId119" Type="http://schemas.openxmlformats.org/officeDocument/2006/relationships/hyperlink" Target="mailto:nanton@pt.lu" TargetMode="External"/><Relationship Id="rId44" Type="http://schemas.openxmlformats.org/officeDocument/2006/relationships/hyperlink" Target="mailto:Fabrice.FLAMME@spw.wallonie.be" TargetMode="External"/><Relationship Id="rId65" Type="http://schemas.openxmlformats.org/officeDocument/2006/relationships/hyperlink" Target="mailto:dres.sander@web.de" TargetMode="External"/><Relationship Id="rId86" Type="http://schemas.openxmlformats.org/officeDocument/2006/relationships/hyperlink" Target="mailto:stephan.kobel@swissonline.ch" TargetMode="External"/><Relationship Id="rId130" Type="http://schemas.openxmlformats.org/officeDocument/2006/relationships/hyperlink" Target="mailto:sandra@broekmann.de" TargetMode="External"/><Relationship Id="rId151" Type="http://schemas.openxmlformats.org/officeDocument/2006/relationships/hyperlink" Target="mailto:ingrid.hanisch@freenet.de" TargetMode="External"/><Relationship Id="rId172" Type="http://schemas.openxmlformats.org/officeDocument/2006/relationships/hyperlink" Target="mailto:luna8311@googlemail.com" TargetMode="External"/><Relationship Id="rId193" Type="http://schemas.openxmlformats.org/officeDocument/2006/relationships/hyperlink" Target="mailto:gesa.spike@gmx.de" TargetMode="External"/><Relationship Id="rId13" Type="http://schemas.openxmlformats.org/officeDocument/2006/relationships/hyperlink" Target="mailto:wunderhorn@t-online.de" TargetMode="External"/><Relationship Id="rId109" Type="http://schemas.openxmlformats.org/officeDocument/2006/relationships/hyperlink" Target="mailto:birgittdoll@aol.com" TargetMode="External"/><Relationship Id="rId34" Type="http://schemas.openxmlformats.org/officeDocument/2006/relationships/hyperlink" Target="mailto:christiane.schmitzberger@numericable.fr" TargetMode="External"/><Relationship Id="rId55" Type="http://schemas.openxmlformats.org/officeDocument/2006/relationships/hyperlink" Target="mailto:hans.janse@hetnet.nl" TargetMode="External"/><Relationship Id="rId76" Type="http://schemas.openxmlformats.org/officeDocument/2006/relationships/hyperlink" Target="mailto:rolland.josee@gmail.com" TargetMode="External"/><Relationship Id="rId97" Type="http://schemas.openxmlformats.org/officeDocument/2006/relationships/hyperlink" Target="mailto:ericparage@free.fr" TargetMode="External"/><Relationship Id="rId120" Type="http://schemas.openxmlformats.org/officeDocument/2006/relationships/hyperlink" Target="mailto:jhugow@snafu.de" TargetMode="External"/><Relationship Id="rId141" Type="http://schemas.openxmlformats.org/officeDocument/2006/relationships/hyperlink" Target="mailto:asurbeck@t-online.de" TargetMode="External"/><Relationship Id="rId7" Type="http://schemas.openxmlformats.org/officeDocument/2006/relationships/hyperlink" Target="mailto:nadja.scaglione@bluewin.ch" TargetMode="External"/><Relationship Id="rId162" Type="http://schemas.openxmlformats.org/officeDocument/2006/relationships/hyperlink" Target="mailto:odilecarlier@orange.fr" TargetMode="External"/><Relationship Id="rId183" Type="http://schemas.openxmlformats.org/officeDocument/2006/relationships/hyperlink" Target="mailto:rodriguenavlet@hotmail.com" TargetMode="External"/><Relationship Id="rId2" Type="http://schemas.openxmlformats.org/officeDocument/2006/relationships/hyperlink" Target="mailto:sebastien.cornu@bluewin.ch" TargetMode="External"/><Relationship Id="rId29" Type="http://schemas.openxmlformats.org/officeDocument/2006/relationships/hyperlink" Target="mailto:mruethy@bluewin.ch" TargetMode="External"/><Relationship Id="rId24" Type="http://schemas.openxmlformats.org/officeDocument/2006/relationships/hyperlink" Target="mailto:peter.seuss@googlemail.com" TargetMode="External"/><Relationship Id="rId40" Type="http://schemas.openxmlformats.org/officeDocument/2006/relationships/hyperlink" Target="mailto:kiki.tipunch@wanadoo.fr" TargetMode="External"/><Relationship Id="rId45" Type="http://schemas.openxmlformats.org/officeDocument/2006/relationships/hyperlink" Target="mailto:duchenenicola@yahoo.fr" TargetMode="External"/><Relationship Id="rId66" Type="http://schemas.openxmlformats.org/officeDocument/2006/relationships/hyperlink" Target="mailto:erwanhubert@free.fr" TargetMode="External"/><Relationship Id="rId87" Type="http://schemas.openxmlformats.org/officeDocument/2006/relationships/hyperlink" Target="mailto:paloma13@gmx.de" TargetMode="External"/><Relationship Id="rId110" Type="http://schemas.openxmlformats.org/officeDocument/2006/relationships/hyperlink" Target="mailto:ratilgner@aol.com" TargetMode="External"/><Relationship Id="rId115" Type="http://schemas.openxmlformats.org/officeDocument/2006/relationships/hyperlink" Target="mailto:amillet7@wanadoo.fr" TargetMode="External"/><Relationship Id="rId131" Type="http://schemas.openxmlformats.org/officeDocument/2006/relationships/hyperlink" Target="mailto:kmercedes300@aol.com" TargetMode="External"/><Relationship Id="rId136" Type="http://schemas.openxmlformats.org/officeDocument/2006/relationships/hyperlink" Target="tel:+4915115307260" TargetMode="External"/><Relationship Id="rId157" Type="http://schemas.openxmlformats.org/officeDocument/2006/relationships/hyperlink" Target="mailto:stef-heinrich@web.de" TargetMode="External"/><Relationship Id="rId178" Type="http://schemas.openxmlformats.org/officeDocument/2006/relationships/hyperlink" Target="mailto:david.mueller@gmx.org" TargetMode="External"/><Relationship Id="rId61" Type="http://schemas.openxmlformats.org/officeDocument/2006/relationships/hyperlink" Target="mailto:evanlierde@coldsetprintingpartners.be" TargetMode="External"/><Relationship Id="rId82" Type="http://schemas.openxmlformats.org/officeDocument/2006/relationships/hyperlink" Target="mailto:erwanhubert@free.fr" TargetMode="External"/><Relationship Id="rId152" Type="http://schemas.openxmlformats.org/officeDocument/2006/relationships/hyperlink" Target="mailto:markuspalm@hotmail.de" TargetMode="External"/><Relationship Id="rId173" Type="http://schemas.openxmlformats.org/officeDocument/2006/relationships/hyperlink" Target="mailto:cdoering@mailbox.org" TargetMode="External"/><Relationship Id="rId194" Type="http://schemas.openxmlformats.org/officeDocument/2006/relationships/hyperlink" Target="mailto:fc@licker.de" TargetMode="External"/><Relationship Id="rId199" Type="http://schemas.openxmlformats.org/officeDocument/2006/relationships/hyperlink" Target="mailto:ja@bildhaus.ch" TargetMode="External"/><Relationship Id="rId19" Type="http://schemas.openxmlformats.org/officeDocument/2006/relationships/hyperlink" Target="mailto:cboedecker@arcor.de" TargetMode="External"/><Relationship Id="rId14" Type="http://schemas.openxmlformats.org/officeDocument/2006/relationships/hyperlink" Target="mailto:mangold.lth@arcor.de" TargetMode="External"/><Relationship Id="rId30" Type="http://schemas.openxmlformats.org/officeDocument/2006/relationships/hyperlink" Target="mailto:rodriguenavlet@hotmail.com" TargetMode="External"/><Relationship Id="rId35" Type="http://schemas.openxmlformats.org/officeDocument/2006/relationships/hyperlink" Target="mailto:movet.jean-pierre@neuf.fr" TargetMode="External"/><Relationship Id="rId56" Type="http://schemas.openxmlformats.org/officeDocument/2006/relationships/hyperlink" Target="mailto:davidb39@hotmail.fr" TargetMode="External"/><Relationship Id="rId77" Type="http://schemas.openxmlformats.org/officeDocument/2006/relationships/hyperlink" Target="mailto:silvio_kell@yahoo.de" TargetMode="External"/><Relationship Id="rId100" Type="http://schemas.openxmlformats.org/officeDocument/2006/relationships/hyperlink" Target="mailto:brendaruck@zeelandnet.nl" TargetMode="External"/><Relationship Id="rId105" Type="http://schemas.openxmlformats.org/officeDocument/2006/relationships/hyperlink" Target="mailto:erwanhubert@free.fr" TargetMode="External"/><Relationship Id="rId126" Type="http://schemas.openxmlformats.org/officeDocument/2006/relationships/hyperlink" Target="mailto:tina.albrecht712@gmail.com" TargetMode="External"/><Relationship Id="rId147" Type="http://schemas.openxmlformats.org/officeDocument/2006/relationships/hyperlink" Target="mailto:michaelamandt@yahoo.de" TargetMode="External"/><Relationship Id="rId168" Type="http://schemas.openxmlformats.org/officeDocument/2006/relationships/hyperlink" Target="mailto:ludovicthebault@yahoo.com" TargetMode="External"/><Relationship Id="rId8" Type="http://schemas.openxmlformats.org/officeDocument/2006/relationships/hyperlink" Target="mailto:Tibor.Gyalog@unibas.ch" TargetMode="External"/><Relationship Id="rId51" Type="http://schemas.openxmlformats.org/officeDocument/2006/relationships/hyperlink" Target="mailto:pepin@ensea.fr" TargetMode="External"/><Relationship Id="rId72" Type="http://schemas.openxmlformats.org/officeDocument/2006/relationships/hyperlink" Target="mailto:lindner1984@yahoo.de" TargetMode="External"/><Relationship Id="rId93" Type="http://schemas.openxmlformats.org/officeDocument/2006/relationships/hyperlink" Target="mailto:astrigl@gmx.de" TargetMode="External"/><Relationship Id="rId98" Type="http://schemas.openxmlformats.org/officeDocument/2006/relationships/hyperlink" Target="mailto:herveplateau1@gmail.com" TargetMode="External"/><Relationship Id="rId121" Type="http://schemas.openxmlformats.org/officeDocument/2006/relationships/hyperlink" Target="mailto:family@schlup.net" TargetMode="External"/><Relationship Id="rId142" Type="http://schemas.openxmlformats.org/officeDocument/2006/relationships/hyperlink" Target="mailto:star_moon4@hotmail.com" TargetMode="External"/><Relationship Id="rId163" Type="http://schemas.openxmlformats.org/officeDocument/2006/relationships/hyperlink" Target="mailto:to.m@me.com" TargetMode="External"/><Relationship Id="rId184" Type="http://schemas.openxmlformats.org/officeDocument/2006/relationships/hyperlink" Target="mailto:gerdenis@wanadoo.fr" TargetMode="External"/><Relationship Id="rId189" Type="http://schemas.openxmlformats.org/officeDocument/2006/relationships/hyperlink" Target="mailto:pedro-l@bluemail.ch" TargetMode="External"/><Relationship Id="rId3" Type="http://schemas.openxmlformats.org/officeDocument/2006/relationships/hyperlink" Target="mailto:denis.minel@laposte.net" TargetMode="External"/><Relationship Id="rId25" Type="http://schemas.openxmlformats.org/officeDocument/2006/relationships/hyperlink" Target="mailto:pepin@ensea.fr" TargetMode="External"/><Relationship Id="rId46" Type="http://schemas.openxmlformats.org/officeDocument/2006/relationships/hyperlink" Target="mailto:dede7@pt.lu" TargetMode="External"/><Relationship Id="rId67" Type="http://schemas.openxmlformats.org/officeDocument/2006/relationships/hyperlink" Target="mailto:niegengerd@hotmail.com" TargetMode="External"/><Relationship Id="rId116" Type="http://schemas.openxmlformats.org/officeDocument/2006/relationships/hyperlink" Target="mailto:Pfostenberg@aol.com" TargetMode="External"/><Relationship Id="rId137" Type="http://schemas.openxmlformats.org/officeDocument/2006/relationships/hyperlink" Target="mailto:gmmanzi@aol.com" TargetMode="External"/><Relationship Id="rId158" Type="http://schemas.openxmlformats.org/officeDocument/2006/relationships/hyperlink" Target="mailto:anny_393@gmx.at" TargetMode="External"/><Relationship Id="rId20" Type="http://schemas.openxmlformats.org/officeDocument/2006/relationships/hyperlink" Target="mailto:rodriguenavlet@hotmail.com" TargetMode="External"/><Relationship Id="rId41" Type="http://schemas.openxmlformats.org/officeDocument/2006/relationships/hyperlink" Target="mailto:ed@ip-worldcom.ch" TargetMode="External"/><Relationship Id="rId62" Type="http://schemas.openxmlformats.org/officeDocument/2006/relationships/hyperlink" Target="mailto:cprevost74@yahoo.fr" TargetMode="External"/><Relationship Id="rId83" Type="http://schemas.openxmlformats.org/officeDocument/2006/relationships/hyperlink" Target="mailto:N.koeninger@web.de" TargetMode="External"/><Relationship Id="rId88" Type="http://schemas.openxmlformats.org/officeDocument/2006/relationships/hyperlink" Target="mailto:rainer.wittemann@hotmail.de" TargetMode="External"/><Relationship Id="rId111" Type="http://schemas.openxmlformats.org/officeDocument/2006/relationships/hyperlink" Target="mailto:diane.dupont@ml.etat.lu" TargetMode="External"/><Relationship Id="rId132" Type="http://schemas.openxmlformats.org/officeDocument/2006/relationships/hyperlink" Target="mailto:karin.voneicken@gmx.de" TargetMode="External"/><Relationship Id="rId153" Type="http://schemas.openxmlformats.org/officeDocument/2006/relationships/hyperlink" Target="mailto:nadia.koesters@gmx.de" TargetMode="External"/><Relationship Id="rId174" Type="http://schemas.openxmlformats.org/officeDocument/2006/relationships/hyperlink" Target="mailto:zobjackm@yahoo.de" TargetMode="External"/><Relationship Id="rId179" Type="http://schemas.openxmlformats.org/officeDocument/2006/relationships/hyperlink" Target="mailto:joachim.kleist@gmx.net" TargetMode="External"/><Relationship Id="rId195" Type="http://schemas.openxmlformats.org/officeDocument/2006/relationships/hyperlink" Target="mailto:jens.kromschroeder@web.de" TargetMode="External"/><Relationship Id="rId190" Type="http://schemas.openxmlformats.org/officeDocument/2006/relationships/hyperlink" Target="mailto:nadja@auraseta.ch" TargetMode="External"/><Relationship Id="rId15" Type="http://schemas.openxmlformats.org/officeDocument/2006/relationships/hyperlink" Target="mailto:ascholte@pt.lu" TargetMode="External"/><Relationship Id="rId36" Type="http://schemas.openxmlformats.org/officeDocument/2006/relationships/hyperlink" Target="mailto:ghieronimus@live.fr" TargetMode="External"/><Relationship Id="rId57" Type="http://schemas.openxmlformats.org/officeDocument/2006/relationships/hyperlink" Target="mailto:ingrid.hanisch@freenet.de" TargetMode="External"/><Relationship Id="rId106" Type="http://schemas.openxmlformats.org/officeDocument/2006/relationships/hyperlink" Target="mailto:c.nickaes-ley@gmx.de" TargetMode="External"/><Relationship Id="rId127" Type="http://schemas.openxmlformats.org/officeDocument/2006/relationships/hyperlink" Target="mailto:steph-cheyenne@orange.fr" TargetMode="External"/><Relationship Id="rId10" Type="http://schemas.openxmlformats.org/officeDocument/2006/relationships/hyperlink" Target="mailto:pepin@ensea.fr" TargetMode="External"/><Relationship Id="rId31" Type="http://schemas.openxmlformats.org/officeDocument/2006/relationships/hyperlink" Target="mailto:pierre.chalard@univ-bpclermont.fr" TargetMode="External"/><Relationship Id="rId52" Type="http://schemas.openxmlformats.org/officeDocument/2006/relationships/hyperlink" Target="mailto:kerri1409@googlemail.com" TargetMode="External"/><Relationship Id="rId73" Type="http://schemas.openxmlformats.org/officeDocument/2006/relationships/hyperlink" Target="mailto:steve@stevelesloy.freeserve.co.uk" TargetMode="External"/><Relationship Id="rId78" Type="http://schemas.openxmlformats.org/officeDocument/2006/relationships/hyperlink" Target="mailto:kuppler2@t-online.de" TargetMode="External"/><Relationship Id="rId94" Type="http://schemas.openxmlformats.org/officeDocument/2006/relationships/hyperlink" Target="mailto:marjolein@hovingnet.nl" TargetMode="External"/><Relationship Id="rId99" Type="http://schemas.openxmlformats.org/officeDocument/2006/relationships/hyperlink" Target="mailto:elke@betten-hausen.de" TargetMode="External"/><Relationship Id="rId101" Type="http://schemas.openxmlformats.org/officeDocument/2006/relationships/hyperlink" Target="mailto:joerg.gottwald@hotmail.de" TargetMode="External"/><Relationship Id="rId122" Type="http://schemas.openxmlformats.org/officeDocument/2006/relationships/hyperlink" Target="mailto:diane.dupont@ml.etat.lu" TargetMode="External"/><Relationship Id="rId143" Type="http://schemas.openxmlformats.org/officeDocument/2006/relationships/hyperlink" Target="mailto:rckuhn@web.de" TargetMode="External"/><Relationship Id="rId148" Type="http://schemas.openxmlformats.org/officeDocument/2006/relationships/hyperlink" Target="mailto:joyo67_04@yahoo.com" TargetMode="External"/><Relationship Id="rId164" Type="http://schemas.openxmlformats.org/officeDocument/2006/relationships/hyperlink" Target="mailto:mayon23@gmx.de" TargetMode="External"/><Relationship Id="rId169" Type="http://schemas.openxmlformats.org/officeDocument/2006/relationships/hyperlink" Target="mailto:mail@birgithoffmann.com" TargetMode="External"/><Relationship Id="rId185" Type="http://schemas.openxmlformats.org/officeDocument/2006/relationships/hyperlink" Target="mailto:tanjaS1990@gmx.net" TargetMode="External"/><Relationship Id="rId4" Type="http://schemas.openxmlformats.org/officeDocument/2006/relationships/hyperlink" Target="mailto:wallnergmbh@t-online.de" TargetMode="External"/><Relationship Id="rId9" Type="http://schemas.openxmlformats.org/officeDocument/2006/relationships/hyperlink" Target="mailto:b.meyer-lueters@videx.de" TargetMode="External"/><Relationship Id="rId180" Type="http://schemas.openxmlformats.org/officeDocument/2006/relationships/hyperlink" Target="mailto:carmen.bilau-lehre@gmx.de" TargetMode="External"/><Relationship Id="rId26" Type="http://schemas.openxmlformats.org/officeDocument/2006/relationships/hyperlink" Target="mailto:heimuehle@t-online.de" TargetMode="External"/><Relationship Id="rId47" Type="http://schemas.openxmlformats.org/officeDocument/2006/relationships/hyperlink" Target="mailto:nadine.schuler@uniklinikum-saarland.de" TargetMode="External"/><Relationship Id="rId68" Type="http://schemas.openxmlformats.org/officeDocument/2006/relationships/hyperlink" Target="mailto:ruth@rademacher-suess.de" TargetMode="External"/><Relationship Id="rId89" Type="http://schemas.openxmlformats.org/officeDocument/2006/relationships/hyperlink" Target="mailto:dinouardnadie@hotmail.fr" TargetMode="External"/><Relationship Id="rId112" Type="http://schemas.openxmlformats.org/officeDocument/2006/relationships/hyperlink" Target="mailto:boucheron.elodie@laposte.net" TargetMode="External"/><Relationship Id="rId133" Type="http://schemas.openxmlformats.org/officeDocument/2006/relationships/hyperlink" Target="mailto:fg@pflegermais.at" TargetMode="External"/><Relationship Id="rId154" Type="http://schemas.openxmlformats.org/officeDocument/2006/relationships/hyperlink" Target="mailto:canderslemkens@aol.com" TargetMode="External"/><Relationship Id="rId175" Type="http://schemas.openxmlformats.org/officeDocument/2006/relationships/hyperlink" Target="mailto:shochreiter@gmx.de" TargetMode="External"/><Relationship Id="rId196" Type="http://schemas.openxmlformats.org/officeDocument/2006/relationships/hyperlink" Target="mailto:andreilmes@bluewin.ch" TargetMode="External"/><Relationship Id="rId200" Type="http://schemas.openxmlformats.org/officeDocument/2006/relationships/hyperlink" Target="mailto:alexacgn@gmail.com" TargetMode="External"/><Relationship Id="rId16" Type="http://schemas.openxmlformats.org/officeDocument/2006/relationships/hyperlink" Target="mailto:christina.gerberding@t-online.de" TargetMode="External"/><Relationship Id="rId37" Type="http://schemas.openxmlformats.org/officeDocument/2006/relationships/hyperlink" Target="mailto:ebschmitter@bluewin.ch" TargetMode="External"/><Relationship Id="rId58" Type="http://schemas.openxmlformats.org/officeDocument/2006/relationships/hyperlink" Target="mailto:tmuellerteufel@email.de" TargetMode="External"/><Relationship Id="rId79" Type="http://schemas.openxmlformats.org/officeDocument/2006/relationships/hyperlink" Target="mailto:sandra@erhart.ch" TargetMode="External"/><Relationship Id="rId102" Type="http://schemas.openxmlformats.org/officeDocument/2006/relationships/hyperlink" Target="mailto:tran.giang@me.com" TargetMode="External"/><Relationship Id="rId123" Type="http://schemas.openxmlformats.org/officeDocument/2006/relationships/hyperlink" Target="mailto:i.slavicek@t-online.de" TargetMode="External"/><Relationship Id="rId144" Type="http://schemas.openxmlformats.org/officeDocument/2006/relationships/hyperlink" Target="mailto:nicole.kuss@stadt.graz.at" TargetMode="External"/><Relationship Id="rId90" Type="http://schemas.openxmlformats.org/officeDocument/2006/relationships/hyperlink" Target="mailto:nathalie.bourson@education.lu" TargetMode="External"/><Relationship Id="rId165" Type="http://schemas.openxmlformats.org/officeDocument/2006/relationships/hyperlink" Target="mailto:diane.dupont@ml.etat.lu" TargetMode="External"/><Relationship Id="rId186" Type="http://schemas.openxmlformats.org/officeDocument/2006/relationships/hyperlink" Target="mailto:to.m@me.com" TargetMode="External"/><Relationship Id="rId27" Type="http://schemas.openxmlformats.org/officeDocument/2006/relationships/hyperlink" Target="mailto:bettina.ri@t-online.de" TargetMode="External"/><Relationship Id="rId48" Type="http://schemas.openxmlformats.org/officeDocument/2006/relationships/hyperlink" Target="mailto:s-demaret@wanadoo.fr" TargetMode="External"/><Relationship Id="rId69" Type="http://schemas.openxmlformats.org/officeDocument/2006/relationships/hyperlink" Target="mailto:nadja@schlup.net" TargetMode="External"/><Relationship Id="rId113" Type="http://schemas.openxmlformats.org/officeDocument/2006/relationships/hyperlink" Target="mailto:lea.beck@live.fr" TargetMode="External"/><Relationship Id="rId134" Type="http://schemas.openxmlformats.org/officeDocument/2006/relationships/hyperlink" Target="mailto:rodriguenavlet@hotmail.com" TargetMode="External"/><Relationship Id="rId80" Type="http://schemas.openxmlformats.org/officeDocument/2006/relationships/hyperlink" Target="mailto:axelschreiter@yahoo.de" TargetMode="External"/><Relationship Id="rId155" Type="http://schemas.openxmlformats.org/officeDocument/2006/relationships/hyperlink" Target="mailto:sandra@broekmann.de" TargetMode="External"/><Relationship Id="rId176" Type="http://schemas.openxmlformats.org/officeDocument/2006/relationships/hyperlink" Target="mailto:sanerlucia@gmail.com" TargetMode="External"/><Relationship Id="rId197" Type="http://schemas.openxmlformats.org/officeDocument/2006/relationships/hyperlink" Target="mailto:info@hof-luckmann.de" TargetMode="External"/><Relationship Id="rId201" Type="http://schemas.openxmlformats.org/officeDocument/2006/relationships/hyperlink" Target="mailto:ralt@swiss.com" TargetMode="External"/><Relationship Id="rId17" Type="http://schemas.openxmlformats.org/officeDocument/2006/relationships/hyperlink" Target="mailto:janine@felix-weber.com" TargetMode="External"/><Relationship Id="rId38" Type="http://schemas.openxmlformats.org/officeDocument/2006/relationships/hyperlink" Target="mailto:guenterkrauch@web.de" TargetMode="External"/><Relationship Id="rId59" Type="http://schemas.openxmlformats.org/officeDocument/2006/relationships/hyperlink" Target="mailto:GrangerM@bsci.com" TargetMode="External"/><Relationship Id="rId103" Type="http://schemas.openxmlformats.org/officeDocument/2006/relationships/hyperlink" Target="mailto:nathalie.bourson@education.lu" TargetMode="External"/><Relationship Id="rId124" Type="http://schemas.openxmlformats.org/officeDocument/2006/relationships/hyperlink" Target="mailto:sbrech.180904@guest.booking.com" TargetMode="External"/><Relationship Id="rId70" Type="http://schemas.openxmlformats.org/officeDocument/2006/relationships/hyperlink" Target="mailto:c.urban@hamburg.de" TargetMode="External"/><Relationship Id="rId91" Type="http://schemas.openxmlformats.org/officeDocument/2006/relationships/hyperlink" Target="mailto:peggy.wolsfeld@education.lu" TargetMode="External"/><Relationship Id="rId145" Type="http://schemas.openxmlformats.org/officeDocument/2006/relationships/hyperlink" Target="mailto:frieder.schaefer@gmx.de" TargetMode="External"/><Relationship Id="rId166" Type="http://schemas.openxmlformats.org/officeDocument/2006/relationships/hyperlink" Target="mailto:d.nelle@icloud.com" TargetMode="External"/><Relationship Id="rId187" Type="http://schemas.openxmlformats.org/officeDocument/2006/relationships/hyperlink" Target="mailto:thierry.amirgholami@outlook.de" TargetMode="External"/><Relationship Id="rId1" Type="http://schemas.openxmlformats.org/officeDocument/2006/relationships/hyperlink" Target="mailto:reinhardt@osw-eschbach.de" TargetMode="External"/><Relationship Id="rId28" Type="http://schemas.openxmlformats.org/officeDocument/2006/relationships/hyperlink" Target="mailto:joerg.parzl@mellinundmellin.de" TargetMode="External"/><Relationship Id="rId49" Type="http://schemas.openxmlformats.org/officeDocument/2006/relationships/hyperlink" Target="mailto:tilo@gmx.de" TargetMode="External"/><Relationship Id="rId114" Type="http://schemas.openxmlformats.org/officeDocument/2006/relationships/hyperlink" Target="mailto:wegwart@web.de" TargetMode="External"/><Relationship Id="rId60" Type="http://schemas.openxmlformats.org/officeDocument/2006/relationships/hyperlink" Target="mailto:christiansen@bk-erkelenz.de" TargetMode="External"/><Relationship Id="rId81" Type="http://schemas.openxmlformats.org/officeDocument/2006/relationships/hyperlink" Target="mailto:christele.mace@numericable.fr" TargetMode="External"/><Relationship Id="rId135" Type="http://schemas.openxmlformats.org/officeDocument/2006/relationships/hyperlink" Target="mailto:brigittechanteloube@wanadoo.fr" TargetMode="External"/><Relationship Id="rId156" Type="http://schemas.openxmlformats.org/officeDocument/2006/relationships/hyperlink" Target="mailto:faber@freiburger-buchhalter.com" TargetMode="External"/><Relationship Id="rId177" Type="http://schemas.openxmlformats.org/officeDocument/2006/relationships/hyperlink" Target="mailto:danysilver812@gmail.com" TargetMode="External"/><Relationship Id="rId198" Type="http://schemas.openxmlformats.org/officeDocument/2006/relationships/hyperlink" Target="mailto:jules.serrig@gmail.com" TargetMode="External"/><Relationship Id="rId202" Type="http://schemas.openxmlformats.org/officeDocument/2006/relationships/hyperlink" Target="mailto:giesing-wegner@web.de" TargetMode="External"/><Relationship Id="rId18" Type="http://schemas.openxmlformats.org/officeDocument/2006/relationships/hyperlink" Target="mailto:hula1@intergga.ch" TargetMode="External"/><Relationship Id="rId39" Type="http://schemas.openxmlformats.org/officeDocument/2006/relationships/hyperlink" Target="mailto:minaluni@yahoo.de" TargetMode="External"/><Relationship Id="rId50" Type="http://schemas.openxmlformats.org/officeDocument/2006/relationships/hyperlink" Target="mailto:nadja@schlup.net" TargetMode="External"/><Relationship Id="rId104" Type="http://schemas.openxmlformats.org/officeDocument/2006/relationships/hyperlink" Target="mailto:x-oph@gmx.net" TargetMode="External"/><Relationship Id="rId125" Type="http://schemas.openxmlformats.org/officeDocument/2006/relationships/hyperlink" Target="mailto:sandra@rudelwohl-zach.de" TargetMode="External"/><Relationship Id="rId146" Type="http://schemas.openxmlformats.org/officeDocument/2006/relationships/hyperlink" Target="mailto:to.m@me.com" TargetMode="External"/><Relationship Id="rId167" Type="http://schemas.openxmlformats.org/officeDocument/2006/relationships/hyperlink" Target="mailto:ronmeier@zeelandnet.nl" TargetMode="External"/><Relationship Id="rId188" Type="http://schemas.openxmlformats.org/officeDocument/2006/relationships/hyperlink" Target="mailto:zazoo382003@yahoo.de" TargetMode="External"/><Relationship Id="rId71" Type="http://schemas.openxmlformats.org/officeDocument/2006/relationships/hyperlink" Target="mailto:sonja.siekkoetter@ewetel.net" TargetMode="External"/><Relationship Id="rId92" Type="http://schemas.openxmlformats.org/officeDocument/2006/relationships/hyperlink" Target="mailto:cbtkw@email.de" TargetMode="External"/></Relationships>
</file>

<file path=xl/worksheets/_rels/sheet22.xml.rels><?xml version="1.0" encoding="UTF-8" standalone="yes"?>
<Relationships xmlns="http://schemas.openxmlformats.org/package/2006/relationships"><Relationship Id="rId26" Type="http://schemas.openxmlformats.org/officeDocument/2006/relationships/hyperlink" Target="mailto:larmadio@wanadoo.fr" TargetMode="External"/><Relationship Id="rId21" Type="http://schemas.openxmlformats.org/officeDocument/2006/relationships/hyperlink" Target="mailto:ed@ip-worldcom.ch" TargetMode="External"/><Relationship Id="rId34" Type="http://schemas.openxmlformats.org/officeDocument/2006/relationships/hyperlink" Target="mailto:rolland.josee@gmail.com" TargetMode="External"/><Relationship Id="rId42" Type="http://schemas.openxmlformats.org/officeDocument/2006/relationships/hyperlink" Target="mailto:amillet7@wanadoo.fr" TargetMode="External"/><Relationship Id="rId47" Type="http://schemas.openxmlformats.org/officeDocument/2006/relationships/hyperlink" Target="mailto:odilecarlier@orange.fr" TargetMode="External"/><Relationship Id="rId50" Type="http://schemas.openxmlformats.org/officeDocument/2006/relationships/hyperlink" Target="mailto:nadja@auraseta.ch" TargetMode="External"/><Relationship Id="rId55" Type="http://schemas.openxmlformats.org/officeDocument/2006/relationships/hyperlink" Target="mailto:f.hain@gmx.de" TargetMode="External"/><Relationship Id="rId63" Type="http://schemas.openxmlformats.org/officeDocument/2006/relationships/hyperlink" Target="mailto:diane.dupont@ml.etat.lu" TargetMode="External"/><Relationship Id="rId7" Type="http://schemas.openxmlformats.org/officeDocument/2006/relationships/hyperlink" Target="mailto:ascholte@pt.lu" TargetMode="External"/><Relationship Id="rId2" Type="http://schemas.openxmlformats.org/officeDocument/2006/relationships/hyperlink" Target="mailto:denis.minel@laposte.net" TargetMode="External"/><Relationship Id="rId16" Type="http://schemas.openxmlformats.org/officeDocument/2006/relationships/hyperlink" Target="mailto:movet.jean-pierre@neuf.fr" TargetMode="External"/><Relationship Id="rId29" Type="http://schemas.openxmlformats.org/officeDocument/2006/relationships/hyperlink" Target="mailto:GrangerM@bsci.com" TargetMode="External"/><Relationship Id="rId11" Type="http://schemas.openxmlformats.org/officeDocument/2006/relationships/hyperlink" Target="mailto:joerg.parzl@mellinundmellin.de" TargetMode="External"/><Relationship Id="rId24" Type="http://schemas.openxmlformats.org/officeDocument/2006/relationships/hyperlink" Target="mailto:dede7@pt.lu" TargetMode="External"/><Relationship Id="rId32" Type="http://schemas.openxmlformats.org/officeDocument/2006/relationships/hyperlink" Target="mailto:marchal@woodfashion.com" TargetMode="External"/><Relationship Id="rId37" Type="http://schemas.openxmlformats.org/officeDocument/2006/relationships/hyperlink" Target="mailto:peggy.wolsfeld@education.lu" TargetMode="External"/><Relationship Id="rId40" Type="http://schemas.openxmlformats.org/officeDocument/2006/relationships/hyperlink" Target="mailto:nathalie.bourson@education.lu" TargetMode="External"/><Relationship Id="rId45" Type="http://schemas.openxmlformats.org/officeDocument/2006/relationships/hyperlink" Target="mailto:ryser.ittigen@bluewin.ch" TargetMode="External"/><Relationship Id="rId53" Type="http://schemas.openxmlformats.org/officeDocument/2006/relationships/hyperlink" Target="mailto:didier.priolet@free.fr" TargetMode="External"/><Relationship Id="rId58" Type="http://schemas.openxmlformats.org/officeDocument/2006/relationships/hyperlink" Target="mailto:marielayes@orange.fr" TargetMode="External"/><Relationship Id="rId66" Type="http://schemas.openxmlformats.org/officeDocument/2006/relationships/hyperlink" Target="mailto:sophie2663@hotmail.fr" TargetMode="External"/><Relationship Id="rId5" Type="http://schemas.openxmlformats.org/officeDocument/2006/relationships/hyperlink" Target="mailto:mic.ti@orange.fr" TargetMode="External"/><Relationship Id="rId61" Type="http://schemas.openxmlformats.org/officeDocument/2006/relationships/hyperlink" Target="mailto:stephane.pollino@gmail.com" TargetMode="External"/><Relationship Id="rId19" Type="http://schemas.openxmlformats.org/officeDocument/2006/relationships/hyperlink" Target="mailto:minaluni@yahoo.de" TargetMode="External"/><Relationship Id="rId14" Type="http://schemas.openxmlformats.org/officeDocument/2006/relationships/hyperlink" Target="mailto:gaelle7801@live.fr" TargetMode="External"/><Relationship Id="rId22" Type="http://schemas.openxmlformats.org/officeDocument/2006/relationships/hyperlink" Target="mailto:Fabrice.FLAMME@spw.wallonie.be" TargetMode="External"/><Relationship Id="rId27" Type="http://schemas.openxmlformats.org/officeDocument/2006/relationships/hyperlink" Target="mailto:hans.janse@hetnet.nl" TargetMode="External"/><Relationship Id="rId30" Type="http://schemas.openxmlformats.org/officeDocument/2006/relationships/hyperlink" Target="mailto:evanlierde@coldsetprintingpartners.be" TargetMode="External"/><Relationship Id="rId35" Type="http://schemas.openxmlformats.org/officeDocument/2006/relationships/hyperlink" Target="mailto:christele.mace@numericable.fr" TargetMode="External"/><Relationship Id="rId43" Type="http://schemas.openxmlformats.org/officeDocument/2006/relationships/hyperlink" Target="mailto:brigittechanteloube@wanadoo.fr" TargetMode="External"/><Relationship Id="rId48" Type="http://schemas.openxmlformats.org/officeDocument/2006/relationships/hyperlink" Target="mailto:thierry.amirgholami@outlook.de" TargetMode="External"/><Relationship Id="rId56" Type="http://schemas.openxmlformats.org/officeDocument/2006/relationships/hyperlink" Target="mailto:asurbeck@t-online.de" TargetMode="External"/><Relationship Id="rId64" Type="http://schemas.openxmlformats.org/officeDocument/2006/relationships/hyperlink" Target="mailto:soohyun.lee@outlook.com" TargetMode="External"/><Relationship Id="rId8" Type="http://schemas.openxmlformats.org/officeDocument/2006/relationships/hyperlink" Target="mailto:hula1@intergga.ch" TargetMode="External"/><Relationship Id="rId51" Type="http://schemas.openxmlformats.org/officeDocument/2006/relationships/hyperlink" Target="mailto:jules.serrig@gmail.com" TargetMode="External"/><Relationship Id="rId3" Type="http://schemas.openxmlformats.org/officeDocument/2006/relationships/hyperlink" Target="mailto:coccinelle60@gmail.com" TargetMode="External"/><Relationship Id="rId12" Type="http://schemas.openxmlformats.org/officeDocument/2006/relationships/hyperlink" Target="mailto:mruethy@bluewin.ch" TargetMode="External"/><Relationship Id="rId17" Type="http://schemas.openxmlformats.org/officeDocument/2006/relationships/hyperlink" Target="mailto:ghieronimus@live.fr" TargetMode="External"/><Relationship Id="rId25" Type="http://schemas.openxmlformats.org/officeDocument/2006/relationships/hyperlink" Target="mailto:s-demaret@wanadoo.fr" TargetMode="External"/><Relationship Id="rId33" Type="http://schemas.openxmlformats.org/officeDocument/2006/relationships/hyperlink" Target="mailto:sylvie.vla@live.com" TargetMode="External"/><Relationship Id="rId38" Type="http://schemas.openxmlformats.org/officeDocument/2006/relationships/hyperlink" Target="mailto:odilecarlier@orange.fr" TargetMode="External"/><Relationship Id="rId46" Type="http://schemas.openxmlformats.org/officeDocument/2006/relationships/hyperlink" Target="mailto:lara.kass@gmail.com" TargetMode="External"/><Relationship Id="rId59" Type="http://schemas.openxmlformats.org/officeDocument/2006/relationships/hyperlink" Target="mailto:martine.geib@education.lu" TargetMode="External"/><Relationship Id="rId20" Type="http://schemas.openxmlformats.org/officeDocument/2006/relationships/hyperlink" Target="mailto:kiki.tipunch@wanadoo.fr" TargetMode="External"/><Relationship Id="rId41" Type="http://schemas.openxmlformats.org/officeDocument/2006/relationships/hyperlink" Target="mailto:hortense.everett@gmail.com" TargetMode="External"/><Relationship Id="rId54" Type="http://schemas.openxmlformats.org/officeDocument/2006/relationships/hyperlink" Target="mailto:sandra@broekmann.de" TargetMode="External"/><Relationship Id="rId62" Type="http://schemas.openxmlformats.org/officeDocument/2006/relationships/hyperlink" Target="mailto:jeanna@mail.ch" TargetMode="External"/><Relationship Id="rId1" Type="http://schemas.openxmlformats.org/officeDocument/2006/relationships/hyperlink" Target="mailto:sebastien.cornu@bluewin.ch" TargetMode="External"/><Relationship Id="rId6" Type="http://schemas.openxmlformats.org/officeDocument/2006/relationships/hyperlink" Target="mailto:wunderhorn@t-online.de" TargetMode="External"/><Relationship Id="rId15" Type="http://schemas.openxmlformats.org/officeDocument/2006/relationships/hyperlink" Target="mailto:christiane.schmitzberger@numericable.fr" TargetMode="External"/><Relationship Id="rId23" Type="http://schemas.openxmlformats.org/officeDocument/2006/relationships/hyperlink" Target="mailto:duchenenicola@yahoo.fr" TargetMode="External"/><Relationship Id="rId28" Type="http://schemas.openxmlformats.org/officeDocument/2006/relationships/hyperlink" Target="mailto:davidb39@hotmail.fr" TargetMode="External"/><Relationship Id="rId36" Type="http://schemas.openxmlformats.org/officeDocument/2006/relationships/hyperlink" Target="mailto:dinouardnadie@hotmail.fr" TargetMode="External"/><Relationship Id="rId49" Type="http://schemas.openxmlformats.org/officeDocument/2006/relationships/hyperlink" Target="mailto:zazoo382003@yahoo.de" TargetMode="External"/><Relationship Id="rId57" Type="http://schemas.openxmlformats.org/officeDocument/2006/relationships/hyperlink" Target="mailto:frieder.schaefer@gmx.de" TargetMode="External"/><Relationship Id="rId10" Type="http://schemas.openxmlformats.org/officeDocument/2006/relationships/hyperlink" Target="mailto:m.moussie@numericable.com" TargetMode="External"/><Relationship Id="rId31" Type="http://schemas.openxmlformats.org/officeDocument/2006/relationships/hyperlink" Target="mailto:spajean@wanadoo.fr" TargetMode="External"/><Relationship Id="rId44" Type="http://schemas.openxmlformats.org/officeDocument/2006/relationships/hyperlink" Target="mailto:moreaulaurence@free.fr" TargetMode="External"/><Relationship Id="rId52" Type="http://schemas.openxmlformats.org/officeDocument/2006/relationships/hyperlink" Target="mailto:audrey.morvan77176@gmail.com" TargetMode="External"/><Relationship Id="rId60" Type="http://schemas.openxmlformats.org/officeDocument/2006/relationships/hyperlink" Target="mailto:kristellpouliquen@hotmail.fr" TargetMode="External"/><Relationship Id="rId65" Type="http://schemas.openxmlformats.org/officeDocument/2006/relationships/hyperlink" Target="mailto:pepin@ensea.fr" TargetMode="External"/><Relationship Id="rId4" Type="http://schemas.openxmlformats.org/officeDocument/2006/relationships/hyperlink" Target="mailto:mascha@blatow.de" TargetMode="External"/><Relationship Id="rId9" Type="http://schemas.openxmlformats.org/officeDocument/2006/relationships/hyperlink" Target="mailto:rodriguenavlet@hotmail.com" TargetMode="External"/><Relationship Id="rId13" Type="http://schemas.openxmlformats.org/officeDocument/2006/relationships/hyperlink" Target="mailto:pierre.chalard@univ-bpclermont.fr" TargetMode="External"/><Relationship Id="rId18" Type="http://schemas.openxmlformats.org/officeDocument/2006/relationships/hyperlink" Target="mailto:ebschmitter@bluewin.ch" TargetMode="External"/><Relationship Id="rId39" Type="http://schemas.openxmlformats.org/officeDocument/2006/relationships/hyperlink" Target="mailto:herveplateau1@gmail.com" TargetMode="External"/></Relationships>
</file>

<file path=xl/worksheets/_rels/sheet23.xml.rels><?xml version="1.0" encoding="UTF-8" standalone="yes"?>
<Relationships xmlns="http://schemas.openxmlformats.org/package/2006/relationships"><Relationship Id="rId13" Type="http://schemas.openxmlformats.org/officeDocument/2006/relationships/hyperlink" Target="mailto:s-demaret@wanadoo.fr" TargetMode="External"/><Relationship Id="rId18" Type="http://schemas.openxmlformats.org/officeDocument/2006/relationships/hyperlink" Target="mailto:spajean@wanadoo.fr" TargetMode="External"/><Relationship Id="rId26" Type="http://schemas.openxmlformats.org/officeDocument/2006/relationships/hyperlink" Target="mailto:hortense.everett@gmail.com" TargetMode="External"/><Relationship Id="rId3" Type="http://schemas.openxmlformats.org/officeDocument/2006/relationships/hyperlink" Target="mailto:pepin@ensea.fr" TargetMode="External"/><Relationship Id="rId21" Type="http://schemas.openxmlformats.org/officeDocument/2006/relationships/hyperlink" Target="mailto:christele.mace@numericable.fr" TargetMode="External"/><Relationship Id="rId7" Type="http://schemas.openxmlformats.org/officeDocument/2006/relationships/hyperlink" Target="mailto:christiane.schmitzberger@numericable.fr" TargetMode="External"/><Relationship Id="rId12" Type="http://schemas.openxmlformats.org/officeDocument/2006/relationships/hyperlink" Target="mailto:duchenenicola@yahoo.fr" TargetMode="External"/><Relationship Id="rId17" Type="http://schemas.openxmlformats.org/officeDocument/2006/relationships/hyperlink" Target="mailto:cprevost74@yahoo.fr" TargetMode="External"/><Relationship Id="rId25" Type="http://schemas.openxmlformats.org/officeDocument/2006/relationships/hyperlink" Target="mailto:herveplateau1@gmail.com" TargetMode="External"/><Relationship Id="rId33" Type="http://schemas.openxmlformats.org/officeDocument/2006/relationships/hyperlink" Target="mailto:marc.dewasme@wanadoo.fr" TargetMode="External"/><Relationship Id="rId2" Type="http://schemas.openxmlformats.org/officeDocument/2006/relationships/hyperlink" Target="mailto:coccinelle60@gmail.com" TargetMode="External"/><Relationship Id="rId16" Type="http://schemas.openxmlformats.org/officeDocument/2006/relationships/hyperlink" Target="mailto:GrangerM@bsci.com" TargetMode="External"/><Relationship Id="rId20" Type="http://schemas.openxmlformats.org/officeDocument/2006/relationships/hyperlink" Target="mailto:rolland.josee@gmail.com" TargetMode="External"/><Relationship Id="rId29" Type="http://schemas.openxmlformats.org/officeDocument/2006/relationships/hyperlink" Target="mailto:amillet7@wanadoo.fr" TargetMode="External"/><Relationship Id="rId1" Type="http://schemas.openxmlformats.org/officeDocument/2006/relationships/hyperlink" Target="mailto:denis.minel@laposte.net" TargetMode="External"/><Relationship Id="rId6" Type="http://schemas.openxmlformats.org/officeDocument/2006/relationships/hyperlink" Target="mailto:gaelle7801@live.fr" TargetMode="External"/><Relationship Id="rId11" Type="http://schemas.openxmlformats.org/officeDocument/2006/relationships/hyperlink" Target="mailto:kiki.tipunch@wanadoo.fr" TargetMode="External"/><Relationship Id="rId24" Type="http://schemas.openxmlformats.org/officeDocument/2006/relationships/hyperlink" Target="mailto:ericparage@free.fr" TargetMode="External"/><Relationship Id="rId32" Type="http://schemas.openxmlformats.org/officeDocument/2006/relationships/hyperlink" Target="mailto:moreaulaurence@free.fr" TargetMode="External"/><Relationship Id="rId5" Type="http://schemas.openxmlformats.org/officeDocument/2006/relationships/hyperlink" Target="mailto:pierre.chalard@univ-bpclermont.fr" TargetMode="External"/><Relationship Id="rId15" Type="http://schemas.openxmlformats.org/officeDocument/2006/relationships/hyperlink" Target="mailto:davidb39@hotmail.fr" TargetMode="External"/><Relationship Id="rId23" Type="http://schemas.openxmlformats.org/officeDocument/2006/relationships/hyperlink" Target="mailto:odilecarlier@orange.fr" TargetMode="External"/><Relationship Id="rId28" Type="http://schemas.openxmlformats.org/officeDocument/2006/relationships/hyperlink" Target="mailto:lea.beck@live.fr" TargetMode="External"/><Relationship Id="rId10" Type="http://schemas.openxmlformats.org/officeDocument/2006/relationships/hyperlink" Target="mailto:minaluni@yahoo.de" TargetMode="External"/><Relationship Id="rId19" Type="http://schemas.openxmlformats.org/officeDocument/2006/relationships/hyperlink" Target="mailto:erwanhubert@free.fr" TargetMode="External"/><Relationship Id="rId31" Type="http://schemas.openxmlformats.org/officeDocument/2006/relationships/hyperlink" Target="mailto:brigittechanteloube@wanadoo.fr" TargetMode="External"/><Relationship Id="rId4" Type="http://schemas.openxmlformats.org/officeDocument/2006/relationships/hyperlink" Target="mailto:mic.ti@orange.fr" TargetMode="External"/><Relationship Id="rId9" Type="http://schemas.openxmlformats.org/officeDocument/2006/relationships/hyperlink" Target="mailto:ghieronimus@live.fr" TargetMode="External"/><Relationship Id="rId14" Type="http://schemas.openxmlformats.org/officeDocument/2006/relationships/hyperlink" Target="mailto:larmadio@wanadoo.fr" TargetMode="External"/><Relationship Id="rId22" Type="http://schemas.openxmlformats.org/officeDocument/2006/relationships/hyperlink" Target="mailto:dinouardnadie@hotmail.fr" TargetMode="External"/><Relationship Id="rId27" Type="http://schemas.openxmlformats.org/officeDocument/2006/relationships/hyperlink" Target="mailto:boucheron.elodie@laposte.net" TargetMode="External"/><Relationship Id="rId30" Type="http://schemas.openxmlformats.org/officeDocument/2006/relationships/hyperlink" Target="mailto:steph-cheyenne@orange.fr" TargetMode="External"/><Relationship Id="rId8" Type="http://schemas.openxmlformats.org/officeDocument/2006/relationships/hyperlink" Target="mailto:movet.jean-pierre@neuf.fr" TargetMode="External"/></Relationships>
</file>

<file path=xl/worksheets/_rels/sheet24.xml.rels><?xml version="1.0" encoding="UTF-8" standalone="yes"?>
<Relationships xmlns="http://schemas.openxmlformats.org/package/2006/relationships"><Relationship Id="rId8" Type="http://schemas.openxmlformats.org/officeDocument/2006/relationships/hyperlink" Target="mailto:rshbusch@t-online.de" TargetMode="External"/><Relationship Id="rId13" Type="http://schemas.openxmlformats.org/officeDocument/2006/relationships/hyperlink" Target="mailto:glyn@free.fr" TargetMode="External"/><Relationship Id="rId18" Type="http://schemas.openxmlformats.org/officeDocument/2006/relationships/hyperlink" Target="mailto:mlicops@hotmail.com" TargetMode="External"/><Relationship Id="rId3" Type="http://schemas.openxmlformats.org/officeDocument/2006/relationships/hyperlink" Target="mailto:leyray@pt.lu" TargetMode="External"/><Relationship Id="rId21" Type="http://schemas.openxmlformats.org/officeDocument/2006/relationships/hyperlink" Target="mailto:denis.menel@laposte.net" TargetMode="External"/><Relationship Id="rId7" Type="http://schemas.openxmlformats.org/officeDocument/2006/relationships/hyperlink" Target="mailto:erwanhubert@free.fr" TargetMode="External"/><Relationship Id="rId12" Type="http://schemas.openxmlformats.org/officeDocument/2006/relationships/hyperlink" Target="mailto:kfduhem@hotmail.com" TargetMode="External"/><Relationship Id="rId17" Type="http://schemas.openxmlformats.org/officeDocument/2006/relationships/hyperlink" Target="mailto:mlicops@hotmail.com" TargetMode="External"/><Relationship Id="rId2" Type="http://schemas.openxmlformats.org/officeDocument/2006/relationships/hyperlink" Target="mailto:koen.moreels@pandora.be" TargetMode="External"/><Relationship Id="rId16" Type="http://schemas.openxmlformats.org/officeDocument/2006/relationships/hyperlink" Target="mailto:uschihihler@web.de" TargetMode="External"/><Relationship Id="rId20" Type="http://schemas.openxmlformats.org/officeDocument/2006/relationships/hyperlink" Target="mailto:kiki.tipunch@wanadoo.fr" TargetMode="External"/><Relationship Id="rId1" Type="http://schemas.openxmlformats.org/officeDocument/2006/relationships/hyperlink" Target="mailto:t.doelma@gmx.de" TargetMode="External"/><Relationship Id="rId6" Type="http://schemas.openxmlformats.org/officeDocument/2006/relationships/hyperlink" Target="mailto:hannekelambregts@yahoo.de" TargetMode="External"/><Relationship Id="rId11" Type="http://schemas.openxmlformats.org/officeDocument/2006/relationships/hyperlink" Target="mailto:natalie.taconet@unep.fr" TargetMode="External"/><Relationship Id="rId24" Type="http://schemas.openxmlformats.org/officeDocument/2006/relationships/printerSettings" Target="../printerSettings/printerSettings10.bin"/><Relationship Id="rId5" Type="http://schemas.openxmlformats.org/officeDocument/2006/relationships/hyperlink" Target="mailto:ehmollbach@freenet.de" TargetMode="External"/><Relationship Id="rId15" Type="http://schemas.openxmlformats.org/officeDocument/2006/relationships/hyperlink" Target="mailto:nanton@pt.lu" TargetMode="External"/><Relationship Id="rId23" Type="http://schemas.openxmlformats.org/officeDocument/2006/relationships/hyperlink" Target="mailto:sparayre@free.fr" TargetMode="External"/><Relationship Id="rId10" Type="http://schemas.openxmlformats.org/officeDocument/2006/relationships/hyperlink" Target="mailto:michel.lemoine@teledisnet.be" TargetMode="External"/><Relationship Id="rId19" Type="http://schemas.openxmlformats.org/officeDocument/2006/relationships/hyperlink" Target="mailto:sbuchmueller@gmx.de" TargetMode="External"/><Relationship Id="rId4" Type="http://schemas.openxmlformats.org/officeDocument/2006/relationships/hyperlink" Target="mailto:hallole11@onlinehome.de" TargetMode="External"/><Relationship Id="rId9" Type="http://schemas.openxmlformats.org/officeDocument/2006/relationships/hyperlink" Target="mailto:RAFBSM@wanadoo.fr" TargetMode="External"/><Relationship Id="rId14" Type="http://schemas.openxmlformats.org/officeDocument/2006/relationships/hyperlink" Target="mailto:willoughby@t-online.de" TargetMode="External"/><Relationship Id="rId22" Type="http://schemas.openxmlformats.org/officeDocument/2006/relationships/hyperlink" Target="mailto:audret@tiscali.fr" TargetMode="External"/></Relationships>
</file>

<file path=xl/worksheets/_rels/sheet25.xml.rels><?xml version="1.0" encoding="UTF-8" standalone="yes"?>
<Relationships xmlns="http://schemas.openxmlformats.org/package/2006/relationships"><Relationship Id="rId117" Type="http://schemas.openxmlformats.org/officeDocument/2006/relationships/hyperlink" Target="mailto:madree2@yahoo.fr" TargetMode="External"/><Relationship Id="rId21" Type="http://schemas.openxmlformats.org/officeDocument/2006/relationships/hyperlink" Target="mailto:charlotte.campagnolo@gmail.com" TargetMode="External"/><Relationship Id="rId42" Type="http://schemas.openxmlformats.org/officeDocument/2006/relationships/hyperlink" Target="mailto:sylke.kuessner@gmail.com" TargetMode="External"/><Relationship Id="rId63" Type="http://schemas.openxmlformats.org/officeDocument/2006/relationships/hyperlink" Target="mailto:h.jeworski@gmx.net" TargetMode="External"/><Relationship Id="rId84" Type="http://schemas.openxmlformats.org/officeDocument/2006/relationships/hyperlink" Target="mailto:benekamps@gmail.com" TargetMode="External"/><Relationship Id="rId138" Type="http://schemas.openxmlformats.org/officeDocument/2006/relationships/hyperlink" Target="mailto:moty75510@hotmail.com" TargetMode="External"/><Relationship Id="rId159" Type="http://schemas.openxmlformats.org/officeDocument/2006/relationships/hyperlink" Target="mailto:hardy.hecker@hhmobile.de" TargetMode="External"/><Relationship Id="rId170" Type="http://schemas.openxmlformats.org/officeDocument/2006/relationships/hyperlink" Target="mailto:kbrinkers@icloud.com" TargetMode="External"/><Relationship Id="rId191" Type="http://schemas.openxmlformats.org/officeDocument/2006/relationships/hyperlink" Target="mailto:utejacobs@gmx.net" TargetMode="External"/><Relationship Id="rId107" Type="http://schemas.openxmlformats.org/officeDocument/2006/relationships/hyperlink" Target="mailto:katja.ince@gmax.de" TargetMode="External"/><Relationship Id="rId11" Type="http://schemas.openxmlformats.org/officeDocument/2006/relationships/hyperlink" Target="mailto:m.pauli@a1.net" TargetMode="External"/><Relationship Id="rId32" Type="http://schemas.openxmlformats.org/officeDocument/2006/relationships/hyperlink" Target="mailto:alexandra.rockelsberg@gmx.de" TargetMode="External"/><Relationship Id="rId53" Type="http://schemas.openxmlformats.org/officeDocument/2006/relationships/hyperlink" Target="mailto:ronmeier@zeelandnet.nl" TargetMode="External"/><Relationship Id="rId74" Type="http://schemas.openxmlformats.org/officeDocument/2006/relationships/hyperlink" Target="mailto:ajau@gmx.ch" TargetMode="External"/><Relationship Id="rId128" Type="http://schemas.openxmlformats.org/officeDocument/2006/relationships/hyperlink" Target="mailto:dirk@calzawara.de" TargetMode="External"/><Relationship Id="rId149" Type="http://schemas.openxmlformats.org/officeDocument/2006/relationships/hyperlink" Target="mailto:b.czaja@mail.de" TargetMode="External"/><Relationship Id="rId5" Type="http://schemas.openxmlformats.org/officeDocument/2006/relationships/hyperlink" Target="mailto:the217@web.de" TargetMode="External"/><Relationship Id="rId95" Type="http://schemas.openxmlformats.org/officeDocument/2006/relationships/hyperlink" Target="mailto:ajau@gmx.ch" TargetMode="External"/><Relationship Id="rId160" Type="http://schemas.openxmlformats.org/officeDocument/2006/relationships/hyperlink" Target="mailto:hms-lill@web.de" TargetMode="External"/><Relationship Id="rId181" Type="http://schemas.openxmlformats.org/officeDocument/2006/relationships/hyperlink" Target="mailto:f.miertsch@web.de" TargetMode="External"/><Relationship Id="rId22" Type="http://schemas.openxmlformats.org/officeDocument/2006/relationships/hyperlink" Target="mailto:gaelle@touroul.com" TargetMode="External"/><Relationship Id="rId43" Type="http://schemas.openxmlformats.org/officeDocument/2006/relationships/hyperlink" Target="mailto:b.czaja@mail.de" TargetMode="External"/><Relationship Id="rId64" Type="http://schemas.openxmlformats.org/officeDocument/2006/relationships/hyperlink" Target="mailto:bsg01@aol.com" TargetMode="External"/><Relationship Id="rId118" Type="http://schemas.openxmlformats.org/officeDocument/2006/relationships/hyperlink" Target="mailto:luciane@pt.lu" TargetMode="External"/><Relationship Id="rId139" Type="http://schemas.openxmlformats.org/officeDocument/2006/relationships/hyperlink" Target="mailto:bettinapaukstat@t-online.de" TargetMode="External"/><Relationship Id="rId85" Type="http://schemas.openxmlformats.org/officeDocument/2006/relationships/hyperlink" Target="mailto:alexandra.rockelsberg@gmx.de" TargetMode="External"/><Relationship Id="rId150" Type="http://schemas.openxmlformats.org/officeDocument/2006/relationships/hyperlink" Target="mailto:pamela.willaschek@freenet.de" TargetMode="External"/><Relationship Id="rId171" Type="http://schemas.openxmlformats.org/officeDocument/2006/relationships/hyperlink" Target="mailto:e.mwuest@bluewin.ch" TargetMode="External"/><Relationship Id="rId192" Type="http://schemas.openxmlformats.org/officeDocument/2006/relationships/hyperlink" Target="mailto:anke.wetter@web.de" TargetMode="External"/><Relationship Id="rId12" Type="http://schemas.openxmlformats.org/officeDocument/2006/relationships/hyperlink" Target="mailto:tamaraundmartin@bluewin.ch" TargetMode="External"/><Relationship Id="rId33" Type="http://schemas.openxmlformats.org/officeDocument/2006/relationships/hyperlink" Target="mailto:brenneralex.ab@gmail.com" TargetMode="External"/><Relationship Id="rId108" Type="http://schemas.openxmlformats.org/officeDocument/2006/relationships/hyperlink" Target="mailto:y.siegenthaler@hotmail.com" TargetMode="External"/><Relationship Id="rId129" Type="http://schemas.openxmlformats.org/officeDocument/2006/relationships/hyperlink" Target="mailto:ulrike@haenel-duepree.de" TargetMode="External"/><Relationship Id="rId54" Type="http://schemas.openxmlformats.org/officeDocument/2006/relationships/hyperlink" Target="mailto:droste.andre@gmail.com" TargetMode="External"/><Relationship Id="rId75" Type="http://schemas.openxmlformats.org/officeDocument/2006/relationships/hyperlink" Target="mailto:ronmeier@zeelandnet.nl" TargetMode="External"/><Relationship Id="rId96" Type="http://schemas.openxmlformats.org/officeDocument/2006/relationships/hyperlink" Target="mailto:s.epner@gmx.de" TargetMode="External"/><Relationship Id="rId140" Type="http://schemas.openxmlformats.org/officeDocument/2006/relationships/hyperlink" Target="mailto:c.kretschmer@terberg-de.de" TargetMode="External"/><Relationship Id="rId161" Type="http://schemas.openxmlformats.org/officeDocument/2006/relationships/hyperlink" Target="mailto:heinz.scheuren@web.de" TargetMode="External"/><Relationship Id="rId182" Type="http://schemas.openxmlformats.org/officeDocument/2006/relationships/hyperlink" Target="mailto:sandra@broekmann.de" TargetMode="External"/><Relationship Id="rId6" Type="http://schemas.openxmlformats.org/officeDocument/2006/relationships/hyperlink" Target="mailto:dirk@calzawara.de" TargetMode="External"/><Relationship Id="rId23" Type="http://schemas.openxmlformats.org/officeDocument/2006/relationships/hyperlink" Target="mailto:c.kretschmer@terberg-de.de" TargetMode="External"/><Relationship Id="rId119" Type="http://schemas.openxmlformats.org/officeDocument/2006/relationships/hyperlink" Target="mailto:martine.geib@education.lu" TargetMode="External"/><Relationship Id="rId44" Type="http://schemas.openxmlformats.org/officeDocument/2006/relationships/hyperlink" Target="mailto:pamela.willaschek@freenet.de" TargetMode="External"/><Relationship Id="rId65" Type="http://schemas.openxmlformats.org/officeDocument/2006/relationships/hyperlink" Target="mailto:pethei@msn.com" TargetMode="External"/><Relationship Id="rId86" Type="http://schemas.openxmlformats.org/officeDocument/2006/relationships/hyperlink" Target="mailto:ute_gerl@gmx.de" TargetMode="External"/><Relationship Id="rId130" Type="http://schemas.openxmlformats.org/officeDocument/2006/relationships/hyperlink" Target="mailto:gerfried.knaeble@t-online.de" TargetMode="External"/><Relationship Id="rId151" Type="http://schemas.openxmlformats.org/officeDocument/2006/relationships/hyperlink" Target="mailto:joyo67_04@yahoo.com" TargetMode="External"/><Relationship Id="rId172" Type="http://schemas.openxmlformats.org/officeDocument/2006/relationships/hyperlink" Target="mailto:goldbeck@nanometric.de" TargetMode="External"/><Relationship Id="rId193" Type="http://schemas.openxmlformats.org/officeDocument/2006/relationships/hyperlink" Target="mailto:morocutti@t-online.de" TargetMode="External"/><Relationship Id="rId13" Type="http://schemas.openxmlformats.org/officeDocument/2006/relationships/hyperlink" Target="mailto:nicole.colacicco@gmail.com" TargetMode="External"/><Relationship Id="rId109" Type="http://schemas.openxmlformats.org/officeDocument/2006/relationships/hyperlink" Target="mailto:charlotte.campagnolo@gmail.com" TargetMode="External"/><Relationship Id="rId34" Type="http://schemas.openxmlformats.org/officeDocument/2006/relationships/hyperlink" Target="mailto:nicjay@gmx.de" TargetMode="External"/><Relationship Id="rId55" Type="http://schemas.openxmlformats.org/officeDocument/2006/relationships/hyperlink" Target="mailto:gaelle@touroul.com" TargetMode="External"/><Relationship Id="rId76" Type="http://schemas.openxmlformats.org/officeDocument/2006/relationships/hyperlink" Target="mailto:e.mwuest@bluewin.ch" TargetMode="External"/><Relationship Id="rId97" Type="http://schemas.openxmlformats.org/officeDocument/2006/relationships/hyperlink" Target="mailto:claire.moquet@gmail.com" TargetMode="External"/><Relationship Id="rId120" Type="http://schemas.openxmlformats.org/officeDocument/2006/relationships/hyperlink" Target="mailto:armand@gesundes-laufen.com" TargetMode="External"/><Relationship Id="rId141" Type="http://schemas.openxmlformats.org/officeDocument/2006/relationships/hyperlink" Target="mailto:r.buttweiler@osteopathie-pfalz.de" TargetMode="External"/><Relationship Id="rId7" Type="http://schemas.openxmlformats.org/officeDocument/2006/relationships/hyperlink" Target="mailto:ulrike@haenel-duepree.de" TargetMode="External"/><Relationship Id="rId71" Type="http://schemas.openxmlformats.org/officeDocument/2006/relationships/hyperlink" Target="mailto:mp.kohl@t-online.de" TargetMode="External"/><Relationship Id="rId92" Type="http://schemas.openxmlformats.org/officeDocument/2006/relationships/hyperlink" Target="mailto:katrin.schuhmacher@icloud.com" TargetMode="External"/><Relationship Id="rId162" Type="http://schemas.openxmlformats.org/officeDocument/2006/relationships/hyperlink" Target="mailto:h.jeworski@gmx.net" TargetMode="External"/><Relationship Id="rId183" Type="http://schemas.openxmlformats.org/officeDocument/2006/relationships/hyperlink" Target="mailto:jutta.greiner@gmx.net" TargetMode="External"/><Relationship Id="rId2" Type="http://schemas.openxmlformats.org/officeDocument/2006/relationships/hyperlink" Target="mailto:christes@unity-mail.de" TargetMode="External"/><Relationship Id="rId29" Type="http://schemas.openxmlformats.org/officeDocument/2006/relationships/hyperlink" Target="mailto:r.buttweiler@osteopathie-pfalz.de" TargetMode="External"/><Relationship Id="rId24" Type="http://schemas.openxmlformats.org/officeDocument/2006/relationships/hyperlink" Target="mailto:r.buttweiler@osteopathie-pfalz.de" TargetMode="External"/><Relationship Id="rId40" Type="http://schemas.openxmlformats.org/officeDocument/2006/relationships/hyperlink" Target="mailto:sabeth.chevalier@free.fr" TargetMode="External"/><Relationship Id="rId45" Type="http://schemas.openxmlformats.org/officeDocument/2006/relationships/hyperlink" Target="mailto:diane.dupont@ml.etat.lu" TargetMode="External"/><Relationship Id="rId66" Type="http://schemas.openxmlformats.org/officeDocument/2006/relationships/hyperlink" Target="mailto:armand@gesundes-laufen.com" TargetMode="External"/><Relationship Id="rId87" Type="http://schemas.openxmlformats.org/officeDocument/2006/relationships/hyperlink" Target="mailto:f.miertsch@web.de" TargetMode="External"/><Relationship Id="rId110" Type="http://schemas.openxmlformats.org/officeDocument/2006/relationships/hyperlink" Target="mailto:gaelle@touroul.com" TargetMode="External"/><Relationship Id="rId115" Type="http://schemas.openxmlformats.org/officeDocument/2006/relationships/hyperlink" Target="mailto:sylke.kuessner@gmail.com" TargetMode="External"/><Relationship Id="rId131" Type="http://schemas.openxmlformats.org/officeDocument/2006/relationships/hyperlink" Target="mailto:dunja.zieser@gmx.net" TargetMode="External"/><Relationship Id="rId136" Type="http://schemas.openxmlformats.org/officeDocument/2006/relationships/hyperlink" Target="mailto:j.fondalinski@web.de" TargetMode="External"/><Relationship Id="rId157" Type="http://schemas.openxmlformats.org/officeDocument/2006/relationships/hyperlink" Target="mailto:arstoll@bluewin.ch" TargetMode="External"/><Relationship Id="rId178" Type="http://schemas.openxmlformats.org/officeDocument/2006/relationships/hyperlink" Target="mailto:benekamps@gmail.com" TargetMode="External"/><Relationship Id="rId61" Type="http://schemas.openxmlformats.org/officeDocument/2006/relationships/hyperlink" Target="mailto:hms-lill@web.de" TargetMode="External"/><Relationship Id="rId82" Type="http://schemas.openxmlformats.org/officeDocument/2006/relationships/hyperlink" Target="mailto:norbert.beckers05@gmail.com" TargetMode="External"/><Relationship Id="rId152" Type="http://schemas.openxmlformats.org/officeDocument/2006/relationships/hyperlink" Target="mailto:josefine.kirmis@web.de" TargetMode="External"/><Relationship Id="rId173" Type="http://schemas.openxmlformats.org/officeDocument/2006/relationships/hyperlink" Target="mailto:kanzlei@anwaltskanzlei-tl.de" TargetMode="External"/><Relationship Id="rId194" Type="http://schemas.openxmlformats.org/officeDocument/2006/relationships/hyperlink" Target="mailto:adrian.langer90@gmail.com" TargetMode="External"/><Relationship Id="rId199" Type="http://schemas.openxmlformats.org/officeDocument/2006/relationships/printerSettings" Target="../printerSettings/printerSettings11.bin"/><Relationship Id="rId19" Type="http://schemas.openxmlformats.org/officeDocument/2006/relationships/hyperlink" Target="mailto:sylke.kuessner@gmail.com" TargetMode="External"/><Relationship Id="rId14" Type="http://schemas.openxmlformats.org/officeDocument/2006/relationships/hyperlink" Target="mailto:kathleen.claudius@unitybox.de" TargetMode="External"/><Relationship Id="rId30" Type="http://schemas.openxmlformats.org/officeDocument/2006/relationships/hyperlink" Target="mailto:kathleen.claudius@unitybox.de" TargetMode="External"/><Relationship Id="rId35" Type="http://schemas.openxmlformats.org/officeDocument/2006/relationships/hyperlink" Target="mailto:yoannjulie@gmail.com" TargetMode="External"/><Relationship Id="rId56" Type="http://schemas.openxmlformats.org/officeDocument/2006/relationships/hyperlink" Target="mailto:luciane@pt.lu" TargetMode="External"/><Relationship Id="rId77" Type="http://schemas.openxmlformats.org/officeDocument/2006/relationships/hyperlink" Target="mailto:goldbeck@nanometric.de" TargetMode="External"/><Relationship Id="rId100" Type="http://schemas.openxmlformats.org/officeDocument/2006/relationships/hyperlink" Target="mailto:anke.wetter@web.de" TargetMode="External"/><Relationship Id="rId105" Type="http://schemas.openxmlformats.org/officeDocument/2006/relationships/hyperlink" Target="mailto:France_ewen@hotmail.com" TargetMode="External"/><Relationship Id="rId126" Type="http://schemas.openxmlformats.org/officeDocument/2006/relationships/hyperlink" Target="mailto:bonjour.mandy18@gmail.com" TargetMode="External"/><Relationship Id="rId147" Type="http://schemas.openxmlformats.org/officeDocument/2006/relationships/hyperlink" Target="mailto:info.samato@gmx.de" TargetMode="External"/><Relationship Id="rId168" Type="http://schemas.openxmlformats.org/officeDocument/2006/relationships/hyperlink" Target="mailto:mp.kohl@t-online.de" TargetMode="External"/><Relationship Id="rId8" Type="http://schemas.openxmlformats.org/officeDocument/2006/relationships/hyperlink" Target="mailto:gerfried.knaeble@t-online.de" TargetMode="External"/><Relationship Id="rId51" Type="http://schemas.openxmlformats.org/officeDocument/2006/relationships/hyperlink" Target="mailto:bsg01@aol.com" TargetMode="External"/><Relationship Id="rId72" Type="http://schemas.openxmlformats.org/officeDocument/2006/relationships/hyperlink" Target="mailto:lena_bodammer@web.de" TargetMode="External"/><Relationship Id="rId93" Type="http://schemas.openxmlformats.org/officeDocument/2006/relationships/hyperlink" Target="mailto:mathias.rackisch@googlemail.com" TargetMode="External"/><Relationship Id="rId98" Type="http://schemas.openxmlformats.org/officeDocument/2006/relationships/hyperlink" Target="mailto:silke_lichtner@web.de" TargetMode="External"/><Relationship Id="rId121" Type="http://schemas.openxmlformats.org/officeDocument/2006/relationships/hyperlink" Target="mailto:claire.moquet@gmail.com" TargetMode="External"/><Relationship Id="rId142" Type="http://schemas.openxmlformats.org/officeDocument/2006/relationships/hyperlink" Target="mailto:olafgerber1@web.de" TargetMode="External"/><Relationship Id="rId163" Type="http://schemas.openxmlformats.org/officeDocument/2006/relationships/hyperlink" Target="mailto:bsg01@aol.com" TargetMode="External"/><Relationship Id="rId184" Type="http://schemas.openxmlformats.org/officeDocument/2006/relationships/hyperlink" Target="mailto:mutz.sandra@googlemail.com" TargetMode="External"/><Relationship Id="rId189" Type="http://schemas.openxmlformats.org/officeDocument/2006/relationships/hyperlink" Target="mailto:s.epner@gmx.de" TargetMode="External"/><Relationship Id="rId3" Type="http://schemas.openxmlformats.org/officeDocument/2006/relationships/hyperlink" Target="mailto:a.lukas@t-online.de" TargetMode="External"/><Relationship Id="rId25" Type="http://schemas.openxmlformats.org/officeDocument/2006/relationships/hyperlink" Target="mailto:brenneralex.ab@gmail.com" TargetMode="External"/><Relationship Id="rId46" Type="http://schemas.openxmlformats.org/officeDocument/2006/relationships/hyperlink" Target="mailto:joyo67_04@yahoo.com" TargetMode="External"/><Relationship Id="rId67" Type="http://schemas.openxmlformats.org/officeDocument/2006/relationships/hyperlink" Target="mailto:alexandra.rockelsberg@gmx.de" TargetMode="External"/><Relationship Id="rId116" Type="http://schemas.openxmlformats.org/officeDocument/2006/relationships/hyperlink" Target="mailto:diane.dupont@ml.etat.lu" TargetMode="External"/><Relationship Id="rId137" Type="http://schemas.openxmlformats.org/officeDocument/2006/relationships/hyperlink" Target="mailto:tatjana.roell@gmail.com" TargetMode="External"/><Relationship Id="rId158" Type="http://schemas.openxmlformats.org/officeDocument/2006/relationships/hyperlink" Target="mailto:dani.furrer@outlook.com" TargetMode="External"/><Relationship Id="rId20" Type="http://schemas.openxmlformats.org/officeDocument/2006/relationships/hyperlink" Target="mailto:bettinapaukstat@t-online.de" TargetMode="External"/><Relationship Id="rId41" Type="http://schemas.openxmlformats.org/officeDocument/2006/relationships/hyperlink" Target="mailto:kanzlei@anwaltskanzlei-tl.de" TargetMode="External"/><Relationship Id="rId62" Type="http://schemas.openxmlformats.org/officeDocument/2006/relationships/hyperlink" Target="mailto:heinz.scheuren@web.de" TargetMode="External"/><Relationship Id="rId83" Type="http://schemas.openxmlformats.org/officeDocument/2006/relationships/hyperlink" Target="mailto:stefan.brindt@gmx.net" TargetMode="External"/><Relationship Id="rId88" Type="http://schemas.openxmlformats.org/officeDocument/2006/relationships/hyperlink" Target="mailto:sandra@broekmann.de" TargetMode="External"/><Relationship Id="rId111" Type="http://schemas.openxmlformats.org/officeDocument/2006/relationships/hyperlink" Target="mailto:kathleen.claudius@unitybox.de" TargetMode="External"/><Relationship Id="rId132" Type="http://schemas.openxmlformats.org/officeDocument/2006/relationships/hyperlink" Target="mailto:m.pauli@a1.net" TargetMode="External"/><Relationship Id="rId153" Type="http://schemas.openxmlformats.org/officeDocument/2006/relationships/hyperlink" Target="mailto:abel-sabrina@gmx.net" TargetMode="External"/><Relationship Id="rId174" Type="http://schemas.openxmlformats.org/officeDocument/2006/relationships/hyperlink" Target="mailto:christiane.kolschmann@gmx.de" TargetMode="External"/><Relationship Id="rId179" Type="http://schemas.openxmlformats.org/officeDocument/2006/relationships/hyperlink" Target="mailto:alexandra.rockelsberg@gmx.de" TargetMode="External"/><Relationship Id="rId195" Type="http://schemas.openxmlformats.org/officeDocument/2006/relationships/hyperlink" Target="mailto:julia.mauritz@vogel.de" TargetMode="External"/><Relationship Id="rId190" Type="http://schemas.openxmlformats.org/officeDocument/2006/relationships/hyperlink" Target="mailto:silke_lichtner@web.de" TargetMode="External"/><Relationship Id="rId15" Type="http://schemas.openxmlformats.org/officeDocument/2006/relationships/hyperlink" Target="mailto:befra.walter@arcor.de" TargetMode="External"/><Relationship Id="rId36" Type="http://schemas.openxmlformats.org/officeDocument/2006/relationships/hyperlink" Target="mailto:info.samato@gmx.de" TargetMode="External"/><Relationship Id="rId57" Type="http://schemas.openxmlformats.org/officeDocument/2006/relationships/hyperlink" Target="mailto:arstoll@bluewin.ch" TargetMode="External"/><Relationship Id="rId106" Type="http://schemas.openxmlformats.org/officeDocument/2006/relationships/hyperlink" Target="mailto:Roestzeit@t-online.de" TargetMode="External"/><Relationship Id="rId127" Type="http://schemas.openxmlformats.org/officeDocument/2006/relationships/hyperlink" Target="mailto:the217@web.de" TargetMode="External"/><Relationship Id="rId10" Type="http://schemas.openxmlformats.org/officeDocument/2006/relationships/hyperlink" Target="mailto:y.siegenthaler@hotmail.com" TargetMode="External"/><Relationship Id="rId31" Type="http://schemas.openxmlformats.org/officeDocument/2006/relationships/hyperlink" Target="mailto:daenublaser@bluewin.ch" TargetMode="External"/><Relationship Id="rId52" Type="http://schemas.openxmlformats.org/officeDocument/2006/relationships/hyperlink" Target="mailto:bsg01@aol.com" TargetMode="External"/><Relationship Id="rId73" Type="http://schemas.openxmlformats.org/officeDocument/2006/relationships/hyperlink" Target="mailto:kbrinkers@icloud.com" TargetMode="External"/><Relationship Id="rId78" Type="http://schemas.openxmlformats.org/officeDocument/2006/relationships/hyperlink" Target="mailto:kanzlei@anwaltskanzlei-tl.de" TargetMode="External"/><Relationship Id="rId94" Type="http://schemas.openxmlformats.org/officeDocument/2006/relationships/hyperlink" Target="mailto:ronmeier@zeelandnet.nl" TargetMode="External"/><Relationship Id="rId99" Type="http://schemas.openxmlformats.org/officeDocument/2006/relationships/hyperlink" Target="mailto:utejacobs@gmx.net" TargetMode="External"/><Relationship Id="rId101" Type="http://schemas.openxmlformats.org/officeDocument/2006/relationships/hyperlink" Target="mailto:morocutti@t-online.de" TargetMode="External"/><Relationship Id="rId122" Type="http://schemas.openxmlformats.org/officeDocument/2006/relationships/hyperlink" Target="mailto:France_ewen@hotmail.com" TargetMode="External"/><Relationship Id="rId143" Type="http://schemas.openxmlformats.org/officeDocument/2006/relationships/hyperlink" Target="mailto:daenublaser@bluewin.ch" TargetMode="External"/><Relationship Id="rId148" Type="http://schemas.openxmlformats.org/officeDocument/2006/relationships/hyperlink" Target="mailto:stro.stro@gmail.com" TargetMode="External"/><Relationship Id="rId164" Type="http://schemas.openxmlformats.org/officeDocument/2006/relationships/hyperlink" Target="mailto:pethei@msn.com" TargetMode="External"/><Relationship Id="rId169" Type="http://schemas.openxmlformats.org/officeDocument/2006/relationships/hyperlink" Target="mailto:lena_bodammer@web.de" TargetMode="External"/><Relationship Id="rId185" Type="http://schemas.openxmlformats.org/officeDocument/2006/relationships/hyperlink" Target="mailto:wneuh641@gmail.com" TargetMode="External"/><Relationship Id="rId4" Type="http://schemas.openxmlformats.org/officeDocument/2006/relationships/hyperlink" Target="mailto:bonjour.mandy18@gmail.com" TargetMode="External"/><Relationship Id="rId9" Type="http://schemas.openxmlformats.org/officeDocument/2006/relationships/hyperlink" Target="mailto:dunja.zieser@gmx.net" TargetMode="External"/><Relationship Id="rId180" Type="http://schemas.openxmlformats.org/officeDocument/2006/relationships/hyperlink" Target="mailto:ute_gerl@gmx.de" TargetMode="External"/><Relationship Id="rId26" Type="http://schemas.openxmlformats.org/officeDocument/2006/relationships/hyperlink" Target="mailto:olafgerber1@web.de" TargetMode="External"/><Relationship Id="rId47" Type="http://schemas.openxmlformats.org/officeDocument/2006/relationships/hyperlink" Target="mailto:josefine.kirmis@web.de" TargetMode="External"/><Relationship Id="rId68" Type="http://schemas.openxmlformats.org/officeDocument/2006/relationships/hyperlink" Target="mailto:ellen.hetterich@yahoo.com" TargetMode="External"/><Relationship Id="rId89" Type="http://schemas.openxmlformats.org/officeDocument/2006/relationships/hyperlink" Target="mailto:jutta.greiner@gmx.net" TargetMode="External"/><Relationship Id="rId112" Type="http://schemas.openxmlformats.org/officeDocument/2006/relationships/hyperlink" Target="mailto:yoannjulie@gmail.com" TargetMode="External"/><Relationship Id="rId133" Type="http://schemas.openxmlformats.org/officeDocument/2006/relationships/hyperlink" Target="mailto:tamaraundmartin@bluewin.ch" TargetMode="External"/><Relationship Id="rId154" Type="http://schemas.openxmlformats.org/officeDocument/2006/relationships/hyperlink" Target="mailto:sandra@broekmann.de" TargetMode="External"/><Relationship Id="rId175" Type="http://schemas.openxmlformats.org/officeDocument/2006/relationships/hyperlink" Target="mailto:j.kolling@online.de" TargetMode="External"/><Relationship Id="rId196" Type="http://schemas.openxmlformats.org/officeDocument/2006/relationships/hyperlink" Target="mailto:info@neuberger-praezision.de" TargetMode="External"/><Relationship Id="rId16" Type="http://schemas.openxmlformats.org/officeDocument/2006/relationships/hyperlink" Target="mailto:j.fondalinski@web.de" TargetMode="External"/><Relationship Id="rId37" Type="http://schemas.openxmlformats.org/officeDocument/2006/relationships/hyperlink" Target="mailto:armand@gesundes-laufen.com" TargetMode="External"/><Relationship Id="rId58" Type="http://schemas.openxmlformats.org/officeDocument/2006/relationships/hyperlink" Target="mailto:martine.geib@education.lu" TargetMode="External"/><Relationship Id="rId79" Type="http://schemas.openxmlformats.org/officeDocument/2006/relationships/hyperlink" Target="mailto:christiane.kolschmann@gmx.de" TargetMode="External"/><Relationship Id="rId102" Type="http://schemas.openxmlformats.org/officeDocument/2006/relationships/hyperlink" Target="mailto:adrian.langer90@gmail.com" TargetMode="External"/><Relationship Id="rId123" Type="http://schemas.openxmlformats.org/officeDocument/2006/relationships/hyperlink" Target="mailto:waldemar.schmidt@pflegenundwohnen.de" TargetMode="External"/><Relationship Id="rId144" Type="http://schemas.openxmlformats.org/officeDocument/2006/relationships/hyperlink" Target="mailto:alexandra.rockelsberg@gmx.de" TargetMode="External"/><Relationship Id="rId90" Type="http://schemas.openxmlformats.org/officeDocument/2006/relationships/hyperlink" Target="mailto:mutz.sandra@googlemail.com" TargetMode="External"/><Relationship Id="rId165" Type="http://schemas.openxmlformats.org/officeDocument/2006/relationships/hyperlink" Target="mailto:ellen.hetterich@yahoo.com" TargetMode="External"/><Relationship Id="rId186" Type="http://schemas.openxmlformats.org/officeDocument/2006/relationships/hyperlink" Target="mailto:katrin.schuhmacher@icloud.com" TargetMode="External"/><Relationship Id="rId27" Type="http://schemas.openxmlformats.org/officeDocument/2006/relationships/hyperlink" Target="mailto:gaelle@touroul.com" TargetMode="External"/><Relationship Id="rId48" Type="http://schemas.openxmlformats.org/officeDocument/2006/relationships/hyperlink" Target="mailto:abel-sabrina@gmx.net" TargetMode="External"/><Relationship Id="rId69" Type="http://schemas.openxmlformats.org/officeDocument/2006/relationships/hyperlink" Target="mailto:bo.odenthal@t-online.de" TargetMode="External"/><Relationship Id="rId113" Type="http://schemas.openxmlformats.org/officeDocument/2006/relationships/hyperlink" Target="mailto:jeremy.malor@gmail.com" TargetMode="External"/><Relationship Id="rId134" Type="http://schemas.openxmlformats.org/officeDocument/2006/relationships/hyperlink" Target="mailto:nicole.colacicco@gmail.com" TargetMode="External"/><Relationship Id="rId80" Type="http://schemas.openxmlformats.org/officeDocument/2006/relationships/hyperlink" Target="mailto:s.epner@gmx.de" TargetMode="External"/><Relationship Id="rId155" Type="http://schemas.openxmlformats.org/officeDocument/2006/relationships/hyperlink" Target="mailto:droste.andre@gmail.com" TargetMode="External"/><Relationship Id="rId176" Type="http://schemas.openxmlformats.org/officeDocument/2006/relationships/hyperlink" Target="mailto:norbert.beckers05@gmail.com" TargetMode="External"/><Relationship Id="rId197" Type="http://schemas.openxmlformats.org/officeDocument/2006/relationships/hyperlink" Target="mailto:Roestzeit@t-online.de" TargetMode="External"/><Relationship Id="rId17" Type="http://schemas.openxmlformats.org/officeDocument/2006/relationships/hyperlink" Target="mailto:tatjana.roell@gmail.com" TargetMode="External"/><Relationship Id="rId38" Type="http://schemas.openxmlformats.org/officeDocument/2006/relationships/hyperlink" Target="mailto:stro.stro@gmail.com" TargetMode="External"/><Relationship Id="rId59" Type="http://schemas.openxmlformats.org/officeDocument/2006/relationships/hyperlink" Target="mailto:dani.furrer@outlook.com" TargetMode="External"/><Relationship Id="rId103" Type="http://schemas.openxmlformats.org/officeDocument/2006/relationships/hyperlink" Target="mailto:julia.mauritz@vogel.de" TargetMode="External"/><Relationship Id="rId124" Type="http://schemas.openxmlformats.org/officeDocument/2006/relationships/hyperlink" Target="mailto:christes@unity-mail.de" TargetMode="External"/><Relationship Id="rId70" Type="http://schemas.openxmlformats.org/officeDocument/2006/relationships/hyperlink" Target="mailto:blackstream@gmx.net" TargetMode="External"/><Relationship Id="rId91" Type="http://schemas.openxmlformats.org/officeDocument/2006/relationships/hyperlink" Target="mailto:wneuh641@gmail.com" TargetMode="External"/><Relationship Id="rId145" Type="http://schemas.openxmlformats.org/officeDocument/2006/relationships/hyperlink" Target="mailto:brenneralex.ab@gmail.com" TargetMode="External"/><Relationship Id="rId166" Type="http://schemas.openxmlformats.org/officeDocument/2006/relationships/hyperlink" Target="mailto:bo.odenthal@t-online.de" TargetMode="External"/><Relationship Id="rId187" Type="http://schemas.openxmlformats.org/officeDocument/2006/relationships/hyperlink" Target="mailto:mathias.rackisch@googlemail.com" TargetMode="External"/><Relationship Id="rId1" Type="http://schemas.openxmlformats.org/officeDocument/2006/relationships/hyperlink" Target="mailto:waldemar.schmidt@pflegenundwohnen.de" TargetMode="External"/><Relationship Id="rId28" Type="http://schemas.openxmlformats.org/officeDocument/2006/relationships/hyperlink" Target="mailto:jutta.greiner@gmx.com" TargetMode="External"/><Relationship Id="rId49" Type="http://schemas.openxmlformats.org/officeDocument/2006/relationships/hyperlink" Target="mailto:madree2@yahoo.fr" TargetMode="External"/><Relationship Id="rId114" Type="http://schemas.openxmlformats.org/officeDocument/2006/relationships/hyperlink" Target="mailto:sabeth.chevalier@free.fr" TargetMode="External"/><Relationship Id="rId60" Type="http://schemas.openxmlformats.org/officeDocument/2006/relationships/hyperlink" Target="mailto:hardy.hecker@hhmobile.de" TargetMode="External"/><Relationship Id="rId81" Type="http://schemas.openxmlformats.org/officeDocument/2006/relationships/hyperlink" Target="mailto:j.kolling@online.de" TargetMode="External"/><Relationship Id="rId135" Type="http://schemas.openxmlformats.org/officeDocument/2006/relationships/hyperlink" Target="mailto:befra.walter@arcor.de" TargetMode="External"/><Relationship Id="rId156" Type="http://schemas.openxmlformats.org/officeDocument/2006/relationships/hyperlink" Target="mailto:gaelle@touroul.com" TargetMode="External"/><Relationship Id="rId177" Type="http://schemas.openxmlformats.org/officeDocument/2006/relationships/hyperlink" Target="mailto:stefan.brindt@gmx.net" TargetMode="External"/><Relationship Id="rId198" Type="http://schemas.openxmlformats.org/officeDocument/2006/relationships/hyperlink" Target="mailto:katja.ince@gmax.de" TargetMode="External"/><Relationship Id="rId18" Type="http://schemas.openxmlformats.org/officeDocument/2006/relationships/hyperlink" Target="mailto:moty75510@hotmail.com" TargetMode="External"/><Relationship Id="rId39" Type="http://schemas.openxmlformats.org/officeDocument/2006/relationships/hyperlink" Target="mailto:jeremy.malor@gmail.com" TargetMode="External"/><Relationship Id="rId50" Type="http://schemas.openxmlformats.org/officeDocument/2006/relationships/hyperlink" Target="mailto:sandra@broekmann.de" TargetMode="External"/><Relationship Id="rId104" Type="http://schemas.openxmlformats.org/officeDocument/2006/relationships/hyperlink" Target="mailto:info@neuberger-praezision.de" TargetMode="External"/><Relationship Id="rId125" Type="http://schemas.openxmlformats.org/officeDocument/2006/relationships/hyperlink" Target="mailto:a.lukas@t-online.de" TargetMode="External"/><Relationship Id="rId146" Type="http://schemas.openxmlformats.org/officeDocument/2006/relationships/hyperlink" Target="mailto:nicjay@gmx.de" TargetMode="External"/><Relationship Id="rId167" Type="http://schemas.openxmlformats.org/officeDocument/2006/relationships/hyperlink" Target="mailto:blackstream@gmx.net" TargetMode="External"/><Relationship Id="rId188" Type="http://schemas.openxmlformats.org/officeDocument/2006/relationships/hyperlink" Target="mailto:ajau@gmx.ch" TargetMode="External"/></Relationships>
</file>

<file path=xl/worksheets/_rels/sheet26.xml.rels><?xml version="1.0" encoding="UTF-8" standalone="yes"?>
<Relationships xmlns="http://schemas.openxmlformats.org/package/2006/relationships"><Relationship Id="rId117" Type="http://schemas.openxmlformats.org/officeDocument/2006/relationships/hyperlink" Target="mailto:boucheron.elodie@laposte.net" TargetMode="External"/><Relationship Id="rId21" Type="http://schemas.openxmlformats.org/officeDocument/2006/relationships/hyperlink" Target="mailto:rodriguenavlet@hotmail.com" TargetMode="External"/><Relationship Id="rId42" Type="http://schemas.openxmlformats.org/officeDocument/2006/relationships/hyperlink" Target="mailto:kiki.tipunch@wanadoo.fr" TargetMode="External"/><Relationship Id="rId63" Type="http://schemas.openxmlformats.org/officeDocument/2006/relationships/hyperlink" Target="mailto:christiansen@bk-erkelenz.de" TargetMode="External"/><Relationship Id="rId84" Type="http://schemas.openxmlformats.org/officeDocument/2006/relationships/hyperlink" Target="mailto:axelschreiter@yahoo.de" TargetMode="External"/><Relationship Id="rId138" Type="http://schemas.openxmlformats.org/officeDocument/2006/relationships/hyperlink" Target="mailto:kmercedes300@aol.com" TargetMode="External"/><Relationship Id="rId159" Type="http://schemas.openxmlformats.org/officeDocument/2006/relationships/hyperlink" Target="mailto:ingrid.hanisch@freenet.de" TargetMode="External"/><Relationship Id="rId170" Type="http://schemas.openxmlformats.org/officeDocument/2006/relationships/hyperlink" Target="mailto:odilecarlier@orange.fr" TargetMode="External"/><Relationship Id="rId191" Type="http://schemas.openxmlformats.org/officeDocument/2006/relationships/hyperlink" Target="mailto:marc.dewasme@wanadoo.fr" TargetMode="External"/><Relationship Id="rId107" Type="http://schemas.openxmlformats.org/officeDocument/2006/relationships/hyperlink" Target="mailto:tran.giang@me.com" TargetMode="External"/><Relationship Id="rId11" Type="http://schemas.openxmlformats.org/officeDocument/2006/relationships/hyperlink" Target="mailto:mascha@blatow.de" TargetMode="External"/><Relationship Id="rId32" Type="http://schemas.openxmlformats.org/officeDocument/2006/relationships/hyperlink" Target="mailto:pierre.chalard@univ-bpclermont.fr" TargetMode="External"/><Relationship Id="rId53" Type="http://schemas.openxmlformats.org/officeDocument/2006/relationships/hyperlink" Target="mailto:nadja@schlup.net" TargetMode="External"/><Relationship Id="rId74" Type="http://schemas.openxmlformats.org/officeDocument/2006/relationships/hyperlink" Target="mailto:c.urban@hamburg.de" TargetMode="External"/><Relationship Id="rId128" Type="http://schemas.openxmlformats.org/officeDocument/2006/relationships/hyperlink" Target="mailto:family@schlup.net" TargetMode="External"/><Relationship Id="rId149" Type="http://schemas.openxmlformats.org/officeDocument/2006/relationships/hyperlink" Target="mailto:star_moon4@hotmail.com" TargetMode="External"/><Relationship Id="rId5" Type="http://schemas.openxmlformats.org/officeDocument/2006/relationships/hyperlink" Target="mailto:BeateSchweitzer@hotmail.com" TargetMode="External"/><Relationship Id="rId95" Type="http://schemas.openxmlformats.org/officeDocument/2006/relationships/hyperlink" Target="mailto:peggy.wolsfeld@education.lu" TargetMode="External"/><Relationship Id="rId160" Type="http://schemas.openxmlformats.org/officeDocument/2006/relationships/hyperlink" Target="mailto:markuspalm@hotmail.de" TargetMode="External"/><Relationship Id="rId181" Type="http://schemas.openxmlformats.org/officeDocument/2006/relationships/hyperlink" Target="mailto:luna8311@googlemail.com" TargetMode="External"/><Relationship Id="rId22" Type="http://schemas.openxmlformats.org/officeDocument/2006/relationships/hyperlink" Target="mailto:m.moussie@numericable.com" TargetMode="External"/><Relationship Id="rId43" Type="http://schemas.openxmlformats.org/officeDocument/2006/relationships/hyperlink" Target="mailto:ed@ip-worldcom.ch" TargetMode="External"/><Relationship Id="rId64" Type="http://schemas.openxmlformats.org/officeDocument/2006/relationships/hyperlink" Target="mailto:evanlierde@coldsetprintingpartners.be" TargetMode="External"/><Relationship Id="rId118" Type="http://schemas.openxmlformats.org/officeDocument/2006/relationships/hyperlink" Target="mailto:lea.beck@live.fr" TargetMode="External"/><Relationship Id="rId139" Type="http://schemas.openxmlformats.org/officeDocument/2006/relationships/hyperlink" Target="mailto:karin.voneicken@gmx.de" TargetMode="External"/><Relationship Id="rId85" Type="http://schemas.openxmlformats.org/officeDocument/2006/relationships/hyperlink" Target="mailto:christele.mace@numericable.fr" TargetMode="External"/><Relationship Id="rId150" Type="http://schemas.openxmlformats.org/officeDocument/2006/relationships/hyperlink" Target="mailto:rckuhn@web.de" TargetMode="External"/><Relationship Id="rId171" Type="http://schemas.openxmlformats.org/officeDocument/2006/relationships/hyperlink" Target="mailto:to.m@me.com" TargetMode="External"/><Relationship Id="rId192" Type="http://schemas.openxmlformats.org/officeDocument/2006/relationships/hyperlink" Target="mailto:manuelakill@gmx.de" TargetMode="External"/><Relationship Id="rId12" Type="http://schemas.openxmlformats.org/officeDocument/2006/relationships/hyperlink" Target="mailto:mic.ti@orange.fr" TargetMode="External"/><Relationship Id="rId33" Type="http://schemas.openxmlformats.org/officeDocument/2006/relationships/hyperlink" Target="mailto:gaelle7801@live.fr" TargetMode="External"/><Relationship Id="rId108" Type="http://schemas.openxmlformats.org/officeDocument/2006/relationships/hyperlink" Target="mailto:nathalie.bourson@education.lu" TargetMode="External"/><Relationship Id="rId129" Type="http://schemas.openxmlformats.org/officeDocument/2006/relationships/hyperlink" Target="mailto:diane.dupont@ml.etat.lu" TargetMode="External"/><Relationship Id="rId54" Type="http://schemas.openxmlformats.org/officeDocument/2006/relationships/hyperlink" Target="mailto:pepin@ensea.fr" TargetMode="External"/><Relationship Id="rId75" Type="http://schemas.openxmlformats.org/officeDocument/2006/relationships/hyperlink" Target="mailto:sonja.siekkoetter@ewetel.net" TargetMode="External"/><Relationship Id="rId96" Type="http://schemas.openxmlformats.org/officeDocument/2006/relationships/hyperlink" Target="mailto:cbtkw@email.de" TargetMode="External"/><Relationship Id="rId140" Type="http://schemas.openxmlformats.org/officeDocument/2006/relationships/hyperlink" Target="mailto:fg@pflegermais.at" TargetMode="External"/><Relationship Id="rId161" Type="http://schemas.openxmlformats.org/officeDocument/2006/relationships/hyperlink" Target="mailto:nadia.koesters@gmx.de" TargetMode="External"/><Relationship Id="rId182" Type="http://schemas.openxmlformats.org/officeDocument/2006/relationships/hyperlink" Target="mailto:cdoering@mailbox.org" TargetMode="External"/><Relationship Id="rId6" Type="http://schemas.openxmlformats.org/officeDocument/2006/relationships/hyperlink" Target="mailto:coccinelle60@gmail.com" TargetMode="External"/><Relationship Id="rId23" Type="http://schemas.openxmlformats.org/officeDocument/2006/relationships/hyperlink" Target="mailto:jutta.holnburger@gmx.de" TargetMode="External"/><Relationship Id="rId119" Type="http://schemas.openxmlformats.org/officeDocument/2006/relationships/hyperlink" Target="mailto:wegwart@web.de" TargetMode="External"/><Relationship Id="rId44" Type="http://schemas.openxmlformats.org/officeDocument/2006/relationships/hyperlink" Target="mailto:andreas.grimm2@web.de" TargetMode="External"/><Relationship Id="rId65" Type="http://schemas.openxmlformats.org/officeDocument/2006/relationships/hyperlink" Target="mailto:cprevost74@yahoo.fr" TargetMode="External"/><Relationship Id="rId86" Type="http://schemas.openxmlformats.org/officeDocument/2006/relationships/hyperlink" Target="mailto:erwanhubert@free.fr" TargetMode="External"/><Relationship Id="rId130" Type="http://schemas.openxmlformats.org/officeDocument/2006/relationships/hyperlink" Target="mailto:i.slavicek@t-online.de" TargetMode="External"/><Relationship Id="rId151" Type="http://schemas.openxmlformats.org/officeDocument/2006/relationships/hyperlink" Target="mailto:michael.boller@hartmann-werkzeugmarkt.de" TargetMode="External"/><Relationship Id="rId172" Type="http://schemas.openxmlformats.org/officeDocument/2006/relationships/hyperlink" Target="mailto:mayon23@gmx.de" TargetMode="External"/><Relationship Id="rId193" Type="http://schemas.openxmlformats.org/officeDocument/2006/relationships/hyperlink" Target="mailto:rodriguenavlet@hotmail.com" TargetMode="External"/><Relationship Id="rId13" Type="http://schemas.openxmlformats.org/officeDocument/2006/relationships/hyperlink" Target="mailto:wunderhorn@t-online.de" TargetMode="External"/><Relationship Id="rId109" Type="http://schemas.openxmlformats.org/officeDocument/2006/relationships/hyperlink" Target="mailto:x-oph@gmx.net" TargetMode="External"/><Relationship Id="rId34" Type="http://schemas.openxmlformats.org/officeDocument/2006/relationships/hyperlink" Target="mailto:biggil@hotmail.de" TargetMode="External"/><Relationship Id="rId55" Type="http://schemas.openxmlformats.org/officeDocument/2006/relationships/hyperlink" Target="mailto:kerri1409@googlemail.com" TargetMode="External"/><Relationship Id="rId76" Type="http://schemas.openxmlformats.org/officeDocument/2006/relationships/hyperlink" Target="mailto:lindner1984@yahoo.de" TargetMode="External"/><Relationship Id="rId97" Type="http://schemas.openxmlformats.org/officeDocument/2006/relationships/hyperlink" Target="mailto:astrigl@gmx.de" TargetMode="External"/><Relationship Id="rId120" Type="http://schemas.openxmlformats.org/officeDocument/2006/relationships/hyperlink" Target="mailto:amillet7@wanadoo.fr" TargetMode="External"/><Relationship Id="rId141" Type="http://schemas.openxmlformats.org/officeDocument/2006/relationships/hyperlink" Target="mailto:rodriguenavlet@hotmail.com" TargetMode="External"/><Relationship Id="rId7" Type="http://schemas.openxmlformats.org/officeDocument/2006/relationships/hyperlink" Target="mailto:nadja.scaglione@bluewin.ch" TargetMode="External"/><Relationship Id="rId71" Type="http://schemas.openxmlformats.org/officeDocument/2006/relationships/hyperlink" Target="mailto:niegengerd@hotmail.com" TargetMode="External"/><Relationship Id="rId92" Type="http://schemas.openxmlformats.org/officeDocument/2006/relationships/hyperlink" Target="mailto:rainer.wittemann@hotmail.de" TargetMode="External"/><Relationship Id="rId162" Type="http://schemas.openxmlformats.org/officeDocument/2006/relationships/hyperlink" Target="mailto:canderslemkens@aol.com" TargetMode="External"/><Relationship Id="rId183" Type="http://schemas.openxmlformats.org/officeDocument/2006/relationships/hyperlink" Target="mailto:zobjackm@yahoo.de" TargetMode="External"/><Relationship Id="rId2" Type="http://schemas.openxmlformats.org/officeDocument/2006/relationships/hyperlink" Target="mailto:sebastien.cornu@bluewin.ch" TargetMode="External"/><Relationship Id="rId29" Type="http://schemas.openxmlformats.org/officeDocument/2006/relationships/hyperlink" Target="mailto:joerg.parzl@mellinundmellin.de" TargetMode="External"/><Relationship Id="rId24" Type="http://schemas.openxmlformats.org/officeDocument/2006/relationships/hyperlink" Target="mailto:markus.kandels@web.de" TargetMode="External"/><Relationship Id="rId40" Type="http://schemas.openxmlformats.org/officeDocument/2006/relationships/hyperlink" Target="mailto:guenterkrauch@web.de" TargetMode="External"/><Relationship Id="rId45" Type="http://schemas.openxmlformats.org/officeDocument/2006/relationships/hyperlink" Target="mailto:helene.losfelt@dbmail.com" TargetMode="External"/><Relationship Id="rId66" Type="http://schemas.openxmlformats.org/officeDocument/2006/relationships/hyperlink" Target="mailto:spajean@wanadoo.fr" TargetMode="External"/><Relationship Id="rId87" Type="http://schemas.openxmlformats.org/officeDocument/2006/relationships/hyperlink" Target="mailto:N.koeninger@web.de" TargetMode="External"/><Relationship Id="rId110" Type="http://schemas.openxmlformats.org/officeDocument/2006/relationships/hyperlink" Target="mailto:erwanhubert@free.fr" TargetMode="External"/><Relationship Id="rId115" Type="http://schemas.openxmlformats.org/officeDocument/2006/relationships/hyperlink" Target="mailto:ratilgner@aol.com" TargetMode="External"/><Relationship Id="rId131" Type="http://schemas.openxmlformats.org/officeDocument/2006/relationships/hyperlink" Target="mailto:sbrech.180904@guest.booking.com" TargetMode="External"/><Relationship Id="rId136" Type="http://schemas.openxmlformats.org/officeDocument/2006/relationships/hyperlink" Target="mailto:k.nemeth24@googlemail.com" TargetMode="External"/><Relationship Id="rId157" Type="http://schemas.openxmlformats.org/officeDocument/2006/relationships/hyperlink" Target="mailto:alwin_steiner@gmx.de" TargetMode="External"/><Relationship Id="rId178" Type="http://schemas.openxmlformats.org/officeDocument/2006/relationships/hyperlink" Target="mailto:mail@birgithoffmann.com" TargetMode="External"/><Relationship Id="rId61" Type="http://schemas.openxmlformats.org/officeDocument/2006/relationships/hyperlink" Target="mailto:tmuellerteufel@email.de" TargetMode="External"/><Relationship Id="rId82" Type="http://schemas.openxmlformats.org/officeDocument/2006/relationships/hyperlink" Target="mailto:kuppler2@t-online.de" TargetMode="External"/><Relationship Id="rId152" Type="http://schemas.openxmlformats.org/officeDocument/2006/relationships/hyperlink" Target="mailto:nicole.kuss@stadt.graz.at" TargetMode="External"/><Relationship Id="rId173" Type="http://schemas.openxmlformats.org/officeDocument/2006/relationships/hyperlink" Target="mailto:diane.dupont@ml.etat.lu" TargetMode="External"/><Relationship Id="rId194" Type="http://schemas.openxmlformats.org/officeDocument/2006/relationships/hyperlink" Target="mailto:gerdenis@wanadoo.fr" TargetMode="External"/><Relationship Id="rId199" Type="http://schemas.openxmlformats.org/officeDocument/2006/relationships/hyperlink" Target="mailto:gesa.spike@gmx.de" TargetMode="External"/><Relationship Id="rId19" Type="http://schemas.openxmlformats.org/officeDocument/2006/relationships/hyperlink" Target="mailto:hula1@intergga.ch" TargetMode="External"/><Relationship Id="rId14" Type="http://schemas.openxmlformats.org/officeDocument/2006/relationships/hyperlink" Target="mailto:mangold.lth@arcor.de" TargetMode="External"/><Relationship Id="rId30" Type="http://schemas.openxmlformats.org/officeDocument/2006/relationships/hyperlink" Target="mailto:mruethy@bluewin.ch" TargetMode="External"/><Relationship Id="rId35" Type="http://schemas.openxmlformats.org/officeDocument/2006/relationships/hyperlink" Target="mailto:christiane.schmitzberger@numericable.fr" TargetMode="External"/><Relationship Id="rId56" Type="http://schemas.openxmlformats.org/officeDocument/2006/relationships/hyperlink" Target="mailto:larmadio@wanadoo.fr" TargetMode="External"/><Relationship Id="rId77" Type="http://schemas.openxmlformats.org/officeDocument/2006/relationships/hyperlink" Target="mailto:steve@stevelesloy.freeserve.co.uk" TargetMode="External"/><Relationship Id="rId100" Type="http://schemas.openxmlformats.org/officeDocument/2006/relationships/hyperlink" Target="mailto:diane.dupont@ml.etat.lu" TargetMode="External"/><Relationship Id="rId105" Type="http://schemas.openxmlformats.org/officeDocument/2006/relationships/hyperlink" Target="mailto:brendaruck@zeelandnet.nl" TargetMode="External"/><Relationship Id="rId126" Type="http://schemas.openxmlformats.org/officeDocument/2006/relationships/hyperlink" Target="mailto:nikolerdc@wanadoo.fr" TargetMode="External"/><Relationship Id="rId147" Type="http://schemas.openxmlformats.org/officeDocument/2006/relationships/hyperlink" Target="mailto:f.hain@gmx.de" TargetMode="External"/><Relationship Id="rId168" Type="http://schemas.openxmlformats.org/officeDocument/2006/relationships/hyperlink" Target="mailto:beateritter@t-online.de" TargetMode="External"/><Relationship Id="rId8" Type="http://schemas.openxmlformats.org/officeDocument/2006/relationships/hyperlink" Target="mailto:Tibor.Gyalog@unibas.ch" TargetMode="External"/><Relationship Id="rId51" Type="http://schemas.openxmlformats.org/officeDocument/2006/relationships/hyperlink" Target="mailto:s-demaret@wanadoo.fr" TargetMode="External"/><Relationship Id="rId72" Type="http://schemas.openxmlformats.org/officeDocument/2006/relationships/hyperlink" Target="mailto:ruth@rademacher-suess.de" TargetMode="External"/><Relationship Id="rId93" Type="http://schemas.openxmlformats.org/officeDocument/2006/relationships/hyperlink" Target="mailto:dinouardnadie@hotmail.fr" TargetMode="External"/><Relationship Id="rId98" Type="http://schemas.openxmlformats.org/officeDocument/2006/relationships/hyperlink" Target="mailto:marjolein@hovingnet.nl" TargetMode="External"/><Relationship Id="rId121" Type="http://schemas.openxmlformats.org/officeDocument/2006/relationships/hyperlink" Target="mailto:Pfostenberg@aol.com" TargetMode="External"/><Relationship Id="rId142" Type="http://schemas.openxmlformats.org/officeDocument/2006/relationships/hyperlink" Target="mailto:brigittechanteloube@wanadoo.fr" TargetMode="External"/><Relationship Id="rId163" Type="http://schemas.openxmlformats.org/officeDocument/2006/relationships/hyperlink" Target="mailto:sandra@broekmann.de" TargetMode="External"/><Relationship Id="rId184" Type="http://schemas.openxmlformats.org/officeDocument/2006/relationships/hyperlink" Target="mailto:shochreiter@gmx.de" TargetMode="External"/><Relationship Id="rId189" Type="http://schemas.openxmlformats.org/officeDocument/2006/relationships/hyperlink" Target="mailto:pn44905@GlaxoWellcome.co.uk" TargetMode="External"/><Relationship Id="rId3" Type="http://schemas.openxmlformats.org/officeDocument/2006/relationships/hyperlink" Target="mailto:denis.minel@laposte.net" TargetMode="External"/><Relationship Id="rId25" Type="http://schemas.openxmlformats.org/officeDocument/2006/relationships/hyperlink" Target="mailto:peter.seuss@googlemail.com" TargetMode="External"/><Relationship Id="rId46" Type="http://schemas.openxmlformats.org/officeDocument/2006/relationships/hyperlink" Target="mailto:m.sander@elektrobartels.de" TargetMode="External"/><Relationship Id="rId67" Type="http://schemas.openxmlformats.org/officeDocument/2006/relationships/hyperlink" Target="mailto:marchal@woodfashion.com" TargetMode="External"/><Relationship Id="rId116" Type="http://schemas.openxmlformats.org/officeDocument/2006/relationships/hyperlink" Target="mailto:diane.dupont@ml.etat.lu" TargetMode="External"/><Relationship Id="rId137" Type="http://schemas.openxmlformats.org/officeDocument/2006/relationships/hyperlink" Target="mailto:sandra@broekmann.de" TargetMode="External"/><Relationship Id="rId158" Type="http://schemas.openxmlformats.org/officeDocument/2006/relationships/hyperlink" Target="mailto:diane.dupont@ml.etat.lu" TargetMode="External"/><Relationship Id="rId20" Type="http://schemas.openxmlformats.org/officeDocument/2006/relationships/hyperlink" Target="mailto:cboedecker@arcor.de" TargetMode="External"/><Relationship Id="rId41" Type="http://schemas.openxmlformats.org/officeDocument/2006/relationships/hyperlink" Target="mailto:minaluni@yahoo.de" TargetMode="External"/><Relationship Id="rId62" Type="http://schemas.openxmlformats.org/officeDocument/2006/relationships/hyperlink" Target="mailto:GrangerM@bsci.com" TargetMode="External"/><Relationship Id="rId83" Type="http://schemas.openxmlformats.org/officeDocument/2006/relationships/hyperlink" Target="mailto:sandra@erhart.ch" TargetMode="External"/><Relationship Id="rId88" Type="http://schemas.openxmlformats.org/officeDocument/2006/relationships/hyperlink" Target="mailto:Kinderhaus-Hauptmann@web.de" TargetMode="External"/><Relationship Id="rId111" Type="http://schemas.openxmlformats.org/officeDocument/2006/relationships/hyperlink" Target="mailto:c.nickaes-ley@gmx.de" TargetMode="External"/><Relationship Id="rId132" Type="http://schemas.openxmlformats.org/officeDocument/2006/relationships/hyperlink" Target="mailto:sandra@rudelwohl-zach.de" TargetMode="External"/><Relationship Id="rId153" Type="http://schemas.openxmlformats.org/officeDocument/2006/relationships/hyperlink" Target="mailto:frieder.schaefer@gmx.de" TargetMode="External"/><Relationship Id="rId174" Type="http://schemas.openxmlformats.org/officeDocument/2006/relationships/hyperlink" Target="mailto:d.nelle@icloud.com" TargetMode="External"/><Relationship Id="rId179" Type="http://schemas.openxmlformats.org/officeDocument/2006/relationships/hyperlink" Target="mailto:tamara.d.hersperger@gmail.com" TargetMode="External"/><Relationship Id="rId195" Type="http://schemas.openxmlformats.org/officeDocument/2006/relationships/hyperlink" Target="mailto:thierry.amirgholami@outlook.de" TargetMode="External"/><Relationship Id="rId190" Type="http://schemas.openxmlformats.org/officeDocument/2006/relationships/hyperlink" Target="mailto:carmen.bilau-lehre@gmx.de" TargetMode="External"/><Relationship Id="rId15" Type="http://schemas.openxmlformats.org/officeDocument/2006/relationships/hyperlink" Target="mailto:ascholte@pt.lu" TargetMode="External"/><Relationship Id="rId36" Type="http://schemas.openxmlformats.org/officeDocument/2006/relationships/hyperlink" Target="mailto:movet.jean-pierre@neuf.fr" TargetMode="External"/><Relationship Id="rId57" Type="http://schemas.openxmlformats.org/officeDocument/2006/relationships/hyperlink" Target="mailto:eifelinfo@t-online.de" TargetMode="External"/><Relationship Id="rId106" Type="http://schemas.openxmlformats.org/officeDocument/2006/relationships/hyperlink" Target="mailto:joerg.gottwald@hotmail.de" TargetMode="External"/><Relationship Id="rId127" Type="http://schemas.openxmlformats.org/officeDocument/2006/relationships/hyperlink" Target="mailto:jhugow@snafu.de" TargetMode="External"/><Relationship Id="rId10" Type="http://schemas.openxmlformats.org/officeDocument/2006/relationships/hyperlink" Target="mailto:pepin@ensea.fr" TargetMode="External"/><Relationship Id="rId31" Type="http://schemas.openxmlformats.org/officeDocument/2006/relationships/hyperlink" Target="mailto:rodriguenavlet@hotmail.com" TargetMode="External"/><Relationship Id="rId52" Type="http://schemas.openxmlformats.org/officeDocument/2006/relationships/hyperlink" Target="mailto:tilo@gmx.de" TargetMode="External"/><Relationship Id="rId73" Type="http://schemas.openxmlformats.org/officeDocument/2006/relationships/hyperlink" Target="mailto:nadja@schlup.net" TargetMode="External"/><Relationship Id="rId78" Type="http://schemas.openxmlformats.org/officeDocument/2006/relationships/hyperlink" Target="mailto:sylvie.vla@live.com" TargetMode="External"/><Relationship Id="rId94" Type="http://schemas.openxmlformats.org/officeDocument/2006/relationships/hyperlink" Target="mailto:nathalie.bourson@education.lu" TargetMode="External"/><Relationship Id="rId99" Type="http://schemas.openxmlformats.org/officeDocument/2006/relationships/hyperlink" Target="mailto:odilecarlier@orange.fr" TargetMode="External"/><Relationship Id="rId101" Type="http://schemas.openxmlformats.org/officeDocument/2006/relationships/hyperlink" Target="mailto:ericparage@free.fr" TargetMode="External"/><Relationship Id="rId122" Type="http://schemas.openxmlformats.org/officeDocument/2006/relationships/hyperlink" Target="mailto:anke.hillebrandt@tiscali.de" TargetMode="External"/><Relationship Id="rId143" Type="http://schemas.openxmlformats.org/officeDocument/2006/relationships/hyperlink" Target="tel:+4915115307260" TargetMode="External"/><Relationship Id="rId148" Type="http://schemas.openxmlformats.org/officeDocument/2006/relationships/hyperlink" Target="mailto:asurbeck@t-online.de" TargetMode="External"/><Relationship Id="rId164" Type="http://schemas.openxmlformats.org/officeDocument/2006/relationships/hyperlink" Target="mailto:faber@freiburger-buchhalter.com" TargetMode="External"/><Relationship Id="rId169" Type="http://schemas.openxmlformats.org/officeDocument/2006/relationships/hyperlink" Target="mailto:lara.kass@gmail.com" TargetMode="External"/><Relationship Id="rId185" Type="http://schemas.openxmlformats.org/officeDocument/2006/relationships/hyperlink" Target="mailto:sanerlucia@gmail.com" TargetMode="External"/><Relationship Id="rId4" Type="http://schemas.openxmlformats.org/officeDocument/2006/relationships/hyperlink" Target="mailto:wallnergmbh@t-online.de" TargetMode="External"/><Relationship Id="rId9" Type="http://schemas.openxmlformats.org/officeDocument/2006/relationships/hyperlink" Target="mailto:b.meyer-lueters@videx.de" TargetMode="External"/><Relationship Id="rId180" Type="http://schemas.openxmlformats.org/officeDocument/2006/relationships/hyperlink" Target="mailto:michelle.schneider@ptworldwide.de" TargetMode="External"/><Relationship Id="rId26" Type="http://schemas.openxmlformats.org/officeDocument/2006/relationships/hyperlink" Target="mailto:pepin@ensea.fr" TargetMode="External"/><Relationship Id="rId47" Type="http://schemas.openxmlformats.org/officeDocument/2006/relationships/hyperlink" Target="mailto:Fabrice.FLAMME@spw.wallonie.be" TargetMode="External"/><Relationship Id="rId68" Type="http://schemas.openxmlformats.org/officeDocument/2006/relationships/hyperlink" Target="mailto:dres.sander@web.de" TargetMode="External"/><Relationship Id="rId89" Type="http://schemas.openxmlformats.org/officeDocument/2006/relationships/hyperlink" Target="mailto:martindoherr@t-online.de" TargetMode="External"/><Relationship Id="rId112" Type="http://schemas.openxmlformats.org/officeDocument/2006/relationships/hyperlink" Target="mailto:hortense.everett@gmail.com" TargetMode="External"/><Relationship Id="rId133" Type="http://schemas.openxmlformats.org/officeDocument/2006/relationships/hyperlink" Target="mailto:tina.albrecht712@gmail.com" TargetMode="External"/><Relationship Id="rId154" Type="http://schemas.openxmlformats.org/officeDocument/2006/relationships/hyperlink" Target="mailto:to.m@me.com" TargetMode="External"/><Relationship Id="rId175" Type="http://schemas.openxmlformats.org/officeDocument/2006/relationships/hyperlink" Target="mailto:ronmeier@zeelandnet.nl" TargetMode="External"/><Relationship Id="rId196" Type="http://schemas.openxmlformats.org/officeDocument/2006/relationships/hyperlink" Target="mailto:zazoo382003@yahoo.de" TargetMode="External"/><Relationship Id="rId16" Type="http://schemas.openxmlformats.org/officeDocument/2006/relationships/hyperlink" Target="mailto:christina.gerberding@t-online.de" TargetMode="External"/><Relationship Id="rId37" Type="http://schemas.openxmlformats.org/officeDocument/2006/relationships/hyperlink" Target="mailto:ap.bachelet@aliceadsl.fr" TargetMode="External"/><Relationship Id="rId58" Type="http://schemas.openxmlformats.org/officeDocument/2006/relationships/hyperlink" Target="mailto:hans.janse@hetnet.nl" TargetMode="External"/><Relationship Id="rId79" Type="http://schemas.openxmlformats.org/officeDocument/2006/relationships/hyperlink" Target="mailto:tf.thomasfranke@t-online.de" TargetMode="External"/><Relationship Id="rId102" Type="http://schemas.openxmlformats.org/officeDocument/2006/relationships/hyperlink" Target="mailto:herveplateau1@gmail.com" TargetMode="External"/><Relationship Id="rId123" Type="http://schemas.openxmlformats.org/officeDocument/2006/relationships/hyperlink" Target="mailto:sandra.smith62@btinternet.com" TargetMode="External"/><Relationship Id="rId144" Type="http://schemas.openxmlformats.org/officeDocument/2006/relationships/hyperlink" Target="mailto:gmmanzi@aol.com" TargetMode="External"/><Relationship Id="rId90" Type="http://schemas.openxmlformats.org/officeDocument/2006/relationships/hyperlink" Target="mailto:stephan.kobel@swissonline.ch" TargetMode="External"/><Relationship Id="rId165" Type="http://schemas.openxmlformats.org/officeDocument/2006/relationships/hyperlink" Target="mailto:stef-heinrich@web.de" TargetMode="External"/><Relationship Id="rId186" Type="http://schemas.openxmlformats.org/officeDocument/2006/relationships/hyperlink" Target="mailto:david.mueller@gmx.org" TargetMode="External"/><Relationship Id="rId27" Type="http://schemas.openxmlformats.org/officeDocument/2006/relationships/hyperlink" Target="mailto:heimuehle@t-online.de" TargetMode="External"/><Relationship Id="rId48" Type="http://schemas.openxmlformats.org/officeDocument/2006/relationships/hyperlink" Target="mailto:duchenenicola@yahoo.fr" TargetMode="External"/><Relationship Id="rId69" Type="http://schemas.openxmlformats.org/officeDocument/2006/relationships/hyperlink" Target="mailto:praestk@aol.com" TargetMode="External"/><Relationship Id="rId113" Type="http://schemas.openxmlformats.org/officeDocument/2006/relationships/hyperlink" Target="mailto:info@g-schlatter.ch" TargetMode="External"/><Relationship Id="rId134" Type="http://schemas.openxmlformats.org/officeDocument/2006/relationships/hyperlink" Target="mailto:steph-cheyenne@orange.fr" TargetMode="External"/><Relationship Id="rId80" Type="http://schemas.openxmlformats.org/officeDocument/2006/relationships/hyperlink" Target="mailto:rolland.josee@gmail.com" TargetMode="External"/><Relationship Id="rId155" Type="http://schemas.openxmlformats.org/officeDocument/2006/relationships/hyperlink" Target="mailto:michaelamandt@yahoo.de" TargetMode="External"/><Relationship Id="rId176" Type="http://schemas.openxmlformats.org/officeDocument/2006/relationships/hyperlink" Target="mailto:ludivicthebault@yahoo.com" TargetMode="External"/><Relationship Id="rId197" Type="http://schemas.openxmlformats.org/officeDocument/2006/relationships/hyperlink" Target="mailto:pedro-l@bluemail.ch" TargetMode="External"/><Relationship Id="rId17" Type="http://schemas.openxmlformats.org/officeDocument/2006/relationships/hyperlink" Target="mailto:janine@felix-weber.com" TargetMode="External"/><Relationship Id="rId38" Type="http://schemas.openxmlformats.org/officeDocument/2006/relationships/hyperlink" Target="mailto:ghieronimus@live.fr" TargetMode="External"/><Relationship Id="rId59" Type="http://schemas.openxmlformats.org/officeDocument/2006/relationships/hyperlink" Target="mailto:davidb39@hotmail.fr" TargetMode="External"/><Relationship Id="rId103" Type="http://schemas.openxmlformats.org/officeDocument/2006/relationships/hyperlink" Target="mailto:elke@betten-hausen.de" TargetMode="External"/><Relationship Id="rId124" Type="http://schemas.openxmlformats.org/officeDocument/2006/relationships/hyperlink" Target="mailto:convento@t-online.de" TargetMode="External"/><Relationship Id="rId70" Type="http://schemas.openxmlformats.org/officeDocument/2006/relationships/hyperlink" Target="mailto:erwanhubert@free.fr" TargetMode="External"/><Relationship Id="rId91" Type="http://schemas.openxmlformats.org/officeDocument/2006/relationships/hyperlink" Target="mailto:paloma13@gmx.de" TargetMode="External"/><Relationship Id="rId145" Type="http://schemas.openxmlformats.org/officeDocument/2006/relationships/hyperlink" Target="mailto:katrin.fahr@googlemail.com" TargetMode="External"/><Relationship Id="rId166" Type="http://schemas.openxmlformats.org/officeDocument/2006/relationships/hyperlink" Target="mailto:anny_393@gmx.at" TargetMode="External"/><Relationship Id="rId187" Type="http://schemas.openxmlformats.org/officeDocument/2006/relationships/hyperlink" Target="mailto:joachim.kleist@gmx.net" TargetMode="External"/><Relationship Id="rId1" Type="http://schemas.openxmlformats.org/officeDocument/2006/relationships/hyperlink" Target="mailto:reinhardt@osw-eschbach.de" TargetMode="External"/><Relationship Id="rId28" Type="http://schemas.openxmlformats.org/officeDocument/2006/relationships/hyperlink" Target="mailto:bettina.ri@t-online.de" TargetMode="External"/><Relationship Id="rId49" Type="http://schemas.openxmlformats.org/officeDocument/2006/relationships/hyperlink" Target="mailto:dede7@pt.lu" TargetMode="External"/><Relationship Id="rId114" Type="http://schemas.openxmlformats.org/officeDocument/2006/relationships/hyperlink" Target="mailto:birgittdoll@aol.com" TargetMode="External"/><Relationship Id="rId60" Type="http://schemas.openxmlformats.org/officeDocument/2006/relationships/hyperlink" Target="mailto:ingrid.hanisch@freenet.de" TargetMode="External"/><Relationship Id="rId81" Type="http://schemas.openxmlformats.org/officeDocument/2006/relationships/hyperlink" Target="mailto:silvio_kell@yahoo.de" TargetMode="External"/><Relationship Id="rId135" Type="http://schemas.openxmlformats.org/officeDocument/2006/relationships/hyperlink" Target="mailto:jeanette@piram.de" TargetMode="External"/><Relationship Id="rId156" Type="http://schemas.openxmlformats.org/officeDocument/2006/relationships/hyperlink" Target="mailto:joyo67_04@yahoo.com" TargetMode="External"/><Relationship Id="rId177" Type="http://schemas.openxmlformats.org/officeDocument/2006/relationships/hyperlink" Target="mailto:m.inhafer@live.de" TargetMode="External"/><Relationship Id="rId198" Type="http://schemas.openxmlformats.org/officeDocument/2006/relationships/hyperlink" Target="mailto:nadja@auraseta.ch" TargetMode="External"/><Relationship Id="rId18" Type="http://schemas.openxmlformats.org/officeDocument/2006/relationships/hyperlink" Target="mailto:sabine.lenk@mri-online.de" TargetMode="External"/><Relationship Id="rId39" Type="http://schemas.openxmlformats.org/officeDocument/2006/relationships/hyperlink" Target="mailto:ebschmitter@bluewin.ch" TargetMode="External"/><Relationship Id="rId50" Type="http://schemas.openxmlformats.org/officeDocument/2006/relationships/hyperlink" Target="mailto:nadine.schuler@uniklinikum-saarland.de" TargetMode="External"/><Relationship Id="rId104" Type="http://schemas.openxmlformats.org/officeDocument/2006/relationships/hyperlink" Target="mailto:n.mueller@radio-homburg.de" TargetMode="External"/><Relationship Id="rId125" Type="http://schemas.openxmlformats.org/officeDocument/2006/relationships/hyperlink" Target="mailto:nanton@pt.lu" TargetMode="External"/><Relationship Id="rId146" Type="http://schemas.openxmlformats.org/officeDocument/2006/relationships/hyperlink" Target="mailto:moreaulaurence@free.fr" TargetMode="External"/><Relationship Id="rId167" Type="http://schemas.openxmlformats.org/officeDocument/2006/relationships/hyperlink" Target="mailto:ryser.ittigen@bluewin.ch" TargetMode="External"/><Relationship Id="rId188" Type="http://schemas.openxmlformats.org/officeDocument/2006/relationships/hyperlink" Target="mailto:neetenbeek@imail.de" TargetMode="External"/></Relationships>
</file>

<file path=xl/worksheets/_rels/sheet27.xml.rels><?xml version="1.0" encoding="UTF-8" standalone="yes"?>
<Relationships xmlns="http://schemas.openxmlformats.org/package/2006/relationships"><Relationship Id="rId117" Type="http://schemas.openxmlformats.org/officeDocument/2006/relationships/hyperlink" Target="mailto:ap.bachelet@aliceadsl.fr" TargetMode="External"/><Relationship Id="rId21" Type="http://schemas.openxmlformats.org/officeDocument/2006/relationships/hyperlink" Target="mailto:tilo@gmx.de" TargetMode="External"/><Relationship Id="rId42" Type="http://schemas.openxmlformats.org/officeDocument/2006/relationships/hyperlink" Target="mailto:cbtkw@email.de" TargetMode="External"/><Relationship Id="rId63" Type="http://schemas.openxmlformats.org/officeDocument/2006/relationships/hyperlink" Target="mailto:fg@pflegermais.at" TargetMode="External"/><Relationship Id="rId84" Type="http://schemas.openxmlformats.org/officeDocument/2006/relationships/hyperlink" Target="mailto:to.m@me.com" TargetMode="External"/><Relationship Id="rId138" Type="http://schemas.openxmlformats.org/officeDocument/2006/relationships/hyperlink" Target="mailto:erwanhubert@free.fr" TargetMode="External"/><Relationship Id="rId159" Type="http://schemas.openxmlformats.org/officeDocument/2006/relationships/hyperlink" Target="mailto:amillet7@wanadoo.fr" TargetMode="External"/><Relationship Id="rId170" Type="http://schemas.openxmlformats.org/officeDocument/2006/relationships/hyperlink" Target="mailto:ryser.ittigen@bluewin.ch" TargetMode="External"/><Relationship Id="rId107" Type="http://schemas.openxmlformats.org/officeDocument/2006/relationships/hyperlink" Target="mailto:Tibor.Gyalog@unibas.ch" TargetMode="External"/><Relationship Id="rId11" Type="http://schemas.openxmlformats.org/officeDocument/2006/relationships/hyperlink" Target="mailto:jutta.holnburger@gmx.de" TargetMode="External"/><Relationship Id="rId32" Type="http://schemas.openxmlformats.org/officeDocument/2006/relationships/hyperlink" Target="mailto:lindner1984@yahoo.de" TargetMode="External"/><Relationship Id="rId53" Type="http://schemas.openxmlformats.org/officeDocument/2006/relationships/hyperlink" Target="mailto:convento@t-online.de" TargetMode="External"/><Relationship Id="rId74" Type="http://schemas.openxmlformats.org/officeDocument/2006/relationships/hyperlink" Target="mailto:alwin_steiner@gmx.de" TargetMode="External"/><Relationship Id="rId128" Type="http://schemas.openxmlformats.org/officeDocument/2006/relationships/hyperlink" Target="mailto:nadja@schlup.net" TargetMode="External"/><Relationship Id="rId149" Type="http://schemas.openxmlformats.org/officeDocument/2006/relationships/hyperlink" Target="mailto:marjolein@hovingnet.nl" TargetMode="External"/><Relationship Id="rId5" Type="http://schemas.openxmlformats.org/officeDocument/2006/relationships/hyperlink" Target="mailto:wunderhorn@t-online.de" TargetMode="External"/><Relationship Id="rId95" Type="http://schemas.openxmlformats.org/officeDocument/2006/relationships/hyperlink" Target="mailto:sanerlucia@gmail.com" TargetMode="External"/><Relationship Id="rId160" Type="http://schemas.openxmlformats.org/officeDocument/2006/relationships/hyperlink" Target="mailto:sandra.smith62@btinternet.com" TargetMode="External"/><Relationship Id="rId22" Type="http://schemas.openxmlformats.org/officeDocument/2006/relationships/hyperlink" Target="mailto:kerri1409@googlemail.com" TargetMode="External"/><Relationship Id="rId43" Type="http://schemas.openxmlformats.org/officeDocument/2006/relationships/hyperlink" Target="mailto:astrigl@gmx.de" TargetMode="External"/><Relationship Id="rId64" Type="http://schemas.openxmlformats.org/officeDocument/2006/relationships/hyperlink" Target="mailto:gmmanzi@aol.com" TargetMode="External"/><Relationship Id="rId118" Type="http://schemas.openxmlformats.org/officeDocument/2006/relationships/hyperlink" Target="mailto:ghieronimus@live.fr" TargetMode="External"/><Relationship Id="rId139" Type="http://schemas.openxmlformats.org/officeDocument/2006/relationships/hyperlink" Target="mailto:nadja@schlup.net" TargetMode="External"/><Relationship Id="rId85" Type="http://schemas.openxmlformats.org/officeDocument/2006/relationships/hyperlink" Target="mailto:mayon23@gmx.de" TargetMode="External"/><Relationship Id="rId150" Type="http://schemas.openxmlformats.org/officeDocument/2006/relationships/hyperlink" Target="mailto:ericparage@free.fr" TargetMode="External"/><Relationship Id="rId171" Type="http://schemas.openxmlformats.org/officeDocument/2006/relationships/hyperlink" Target="mailto:lara.kass@gmail.com" TargetMode="External"/><Relationship Id="rId12" Type="http://schemas.openxmlformats.org/officeDocument/2006/relationships/hyperlink" Target="mailto:peter.seuss@googlemail.com" TargetMode="External"/><Relationship Id="rId33" Type="http://schemas.openxmlformats.org/officeDocument/2006/relationships/hyperlink" Target="mailto:tf.thomasfranke@t-online.de" TargetMode="External"/><Relationship Id="rId108" Type="http://schemas.openxmlformats.org/officeDocument/2006/relationships/hyperlink" Target="mailto:mic.ti@orange.fr" TargetMode="External"/><Relationship Id="rId129" Type="http://schemas.openxmlformats.org/officeDocument/2006/relationships/hyperlink" Target="mailto:pepin@ensea.fr" TargetMode="External"/><Relationship Id="rId54" Type="http://schemas.openxmlformats.org/officeDocument/2006/relationships/hyperlink" Target="mailto:jhugow@snafu.de" TargetMode="External"/><Relationship Id="rId75" Type="http://schemas.openxmlformats.org/officeDocument/2006/relationships/hyperlink" Target="mailto:ingrid.hanisch@freenet.de" TargetMode="External"/><Relationship Id="rId96" Type="http://schemas.openxmlformats.org/officeDocument/2006/relationships/hyperlink" Target="mailto:david.mueller@gmx.org" TargetMode="External"/><Relationship Id="rId140" Type="http://schemas.openxmlformats.org/officeDocument/2006/relationships/hyperlink" Target="mailto:steve@stevelesloy.freeserve.co.uk" TargetMode="External"/><Relationship Id="rId161" Type="http://schemas.openxmlformats.org/officeDocument/2006/relationships/hyperlink" Target="mailto:nanton@pt.lu" TargetMode="External"/><Relationship Id="rId6" Type="http://schemas.openxmlformats.org/officeDocument/2006/relationships/hyperlink" Target="mailto:mangold.lth@arcor.de" TargetMode="External"/><Relationship Id="rId23" Type="http://schemas.openxmlformats.org/officeDocument/2006/relationships/hyperlink" Target="mailto:eifelinfo@t-online.de" TargetMode="External"/><Relationship Id="rId28" Type="http://schemas.openxmlformats.org/officeDocument/2006/relationships/hyperlink" Target="mailto:niegengerd@hotmail.com" TargetMode="External"/><Relationship Id="rId49" Type="http://schemas.openxmlformats.org/officeDocument/2006/relationships/hyperlink" Target="mailto:ratilgner@aol.com" TargetMode="External"/><Relationship Id="rId114" Type="http://schemas.openxmlformats.org/officeDocument/2006/relationships/hyperlink" Target="mailto:gaelle7801@live.fr" TargetMode="External"/><Relationship Id="rId119" Type="http://schemas.openxmlformats.org/officeDocument/2006/relationships/hyperlink" Target="mailto:ebschmitter@bluewin.ch" TargetMode="External"/><Relationship Id="rId44" Type="http://schemas.openxmlformats.org/officeDocument/2006/relationships/hyperlink" Target="mailto:elke@betten-hausen.de" TargetMode="External"/><Relationship Id="rId60" Type="http://schemas.openxmlformats.org/officeDocument/2006/relationships/hyperlink" Target="mailto:k.nemeth24@googlemail.com" TargetMode="External"/><Relationship Id="rId65" Type="http://schemas.openxmlformats.org/officeDocument/2006/relationships/hyperlink" Target="mailto:katrin.fahr@googlemail.com" TargetMode="External"/><Relationship Id="rId81" Type="http://schemas.openxmlformats.org/officeDocument/2006/relationships/hyperlink" Target="mailto:stef-heinrich@web.de" TargetMode="External"/><Relationship Id="rId86" Type="http://schemas.openxmlformats.org/officeDocument/2006/relationships/hyperlink" Target="mailto:d.nelle@icloud.com" TargetMode="External"/><Relationship Id="rId130" Type="http://schemas.openxmlformats.org/officeDocument/2006/relationships/hyperlink" Target="mailto:larmadio@wanadoo.fr" TargetMode="External"/><Relationship Id="rId135" Type="http://schemas.openxmlformats.org/officeDocument/2006/relationships/hyperlink" Target="mailto:cprevost74@yahoo.fr" TargetMode="External"/><Relationship Id="rId151" Type="http://schemas.openxmlformats.org/officeDocument/2006/relationships/hyperlink" Target="mailto:herveplateau1@gmail.com" TargetMode="External"/><Relationship Id="rId156" Type="http://schemas.openxmlformats.org/officeDocument/2006/relationships/hyperlink" Target="mailto:birgittdoll@aol.com" TargetMode="External"/><Relationship Id="rId177" Type="http://schemas.openxmlformats.org/officeDocument/2006/relationships/hyperlink" Target="mailto:pedro-l@bluemail.ch" TargetMode="External"/><Relationship Id="rId172" Type="http://schemas.openxmlformats.org/officeDocument/2006/relationships/hyperlink" Target="mailto:odilecarlier@orange.fr" TargetMode="External"/><Relationship Id="rId13" Type="http://schemas.openxmlformats.org/officeDocument/2006/relationships/hyperlink" Target="mailto:heimuehle@t-online.de" TargetMode="External"/><Relationship Id="rId18" Type="http://schemas.openxmlformats.org/officeDocument/2006/relationships/hyperlink" Target="mailto:andreas.grimm2@web.de" TargetMode="External"/><Relationship Id="rId39" Type="http://schemas.openxmlformats.org/officeDocument/2006/relationships/hyperlink" Target="mailto:martindoherr@t-online.de" TargetMode="External"/><Relationship Id="rId109" Type="http://schemas.openxmlformats.org/officeDocument/2006/relationships/hyperlink" Target="mailto:ascholte@pt.lu" TargetMode="External"/><Relationship Id="rId34" Type="http://schemas.openxmlformats.org/officeDocument/2006/relationships/hyperlink" Target="mailto:silvio_kell@yahoo.de" TargetMode="External"/><Relationship Id="rId50" Type="http://schemas.openxmlformats.org/officeDocument/2006/relationships/hyperlink" Target="mailto:wegwart@web.de" TargetMode="External"/><Relationship Id="rId55" Type="http://schemas.openxmlformats.org/officeDocument/2006/relationships/hyperlink" Target="mailto:i.slavicek@t-online.de" TargetMode="External"/><Relationship Id="rId76" Type="http://schemas.openxmlformats.org/officeDocument/2006/relationships/hyperlink" Target="mailto:markuspalm@hotmail.de" TargetMode="External"/><Relationship Id="rId97" Type="http://schemas.openxmlformats.org/officeDocument/2006/relationships/hyperlink" Target="mailto:joachim.kleist@gmx.net" TargetMode="External"/><Relationship Id="rId104" Type="http://schemas.openxmlformats.org/officeDocument/2006/relationships/hyperlink" Target="mailto:denis.minel@laposte.net" TargetMode="External"/><Relationship Id="rId120" Type="http://schemas.openxmlformats.org/officeDocument/2006/relationships/hyperlink" Target="mailto:minaluni@yahoo.de" TargetMode="External"/><Relationship Id="rId125" Type="http://schemas.openxmlformats.org/officeDocument/2006/relationships/hyperlink" Target="mailto:duchenenicola@yahoo.fr" TargetMode="External"/><Relationship Id="rId141" Type="http://schemas.openxmlformats.org/officeDocument/2006/relationships/hyperlink" Target="mailto:sylvie.vla@live.com" TargetMode="External"/><Relationship Id="rId146" Type="http://schemas.openxmlformats.org/officeDocument/2006/relationships/hyperlink" Target="mailto:stephan.kobel@swissonline.ch" TargetMode="External"/><Relationship Id="rId167" Type="http://schemas.openxmlformats.org/officeDocument/2006/relationships/hyperlink" Target="mailto:moreaulaurence@free.fr" TargetMode="External"/><Relationship Id="rId7" Type="http://schemas.openxmlformats.org/officeDocument/2006/relationships/hyperlink" Target="mailto:christina.gerberding@t-online.de" TargetMode="External"/><Relationship Id="rId71" Type="http://schemas.openxmlformats.org/officeDocument/2006/relationships/hyperlink" Target="mailto:frieder.schaefer@gmx.de" TargetMode="External"/><Relationship Id="rId92" Type="http://schemas.openxmlformats.org/officeDocument/2006/relationships/hyperlink" Target="mailto:cdoering@mailbox.org" TargetMode="External"/><Relationship Id="rId162" Type="http://schemas.openxmlformats.org/officeDocument/2006/relationships/hyperlink" Target="mailto:nikolerdc@wanadoo.fr" TargetMode="External"/><Relationship Id="rId2" Type="http://schemas.openxmlformats.org/officeDocument/2006/relationships/hyperlink" Target="mailto:BeateSchweitzer@hotmail.com" TargetMode="External"/><Relationship Id="rId29" Type="http://schemas.openxmlformats.org/officeDocument/2006/relationships/hyperlink" Target="mailto:ruth@rademacher-suess.de" TargetMode="External"/><Relationship Id="rId24" Type="http://schemas.openxmlformats.org/officeDocument/2006/relationships/hyperlink" Target="mailto:ingrid.hanisch@freenet.de" TargetMode="External"/><Relationship Id="rId40" Type="http://schemas.openxmlformats.org/officeDocument/2006/relationships/hyperlink" Target="mailto:paloma13@gmx.de" TargetMode="External"/><Relationship Id="rId45" Type="http://schemas.openxmlformats.org/officeDocument/2006/relationships/hyperlink" Target="mailto:n.mueller@radio-homburg.de" TargetMode="External"/><Relationship Id="rId66" Type="http://schemas.openxmlformats.org/officeDocument/2006/relationships/hyperlink" Target="mailto:f.hain@gmx.de" TargetMode="External"/><Relationship Id="rId87" Type="http://schemas.openxmlformats.org/officeDocument/2006/relationships/hyperlink" Target="mailto:ludivicthebault@yahoo.com" TargetMode="External"/><Relationship Id="rId110" Type="http://schemas.openxmlformats.org/officeDocument/2006/relationships/hyperlink" Target="mailto:hula1@intergga.ch" TargetMode="External"/><Relationship Id="rId115" Type="http://schemas.openxmlformats.org/officeDocument/2006/relationships/hyperlink" Target="mailto:christiane.schmitzberger@numericable.fr" TargetMode="External"/><Relationship Id="rId131" Type="http://schemas.openxmlformats.org/officeDocument/2006/relationships/hyperlink" Target="mailto:hans.janse@hetnet.nl" TargetMode="External"/><Relationship Id="rId136" Type="http://schemas.openxmlformats.org/officeDocument/2006/relationships/hyperlink" Target="mailto:spajean@wanadoo.fr" TargetMode="External"/><Relationship Id="rId157" Type="http://schemas.openxmlformats.org/officeDocument/2006/relationships/hyperlink" Target="mailto:boucheron.elodie@laposte.net" TargetMode="External"/><Relationship Id="rId178" Type="http://schemas.openxmlformats.org/officeDocument/2006/relationships/hyperlink" Target="mailto:nadja@auraseta.ch" TargetMode="External"/><Relationship Id="rId61" Type="http://schemas.openxmlformats.org/officeDocument/2006/relationships/hyperlink" Target="mailto:sandra@broekmann.de" TargetMode="External"/><Relationship Id="rId82" Type="http://schemas.openxmlformats.org/officeDocument/2006/relationships/hyperlink" Target="mailto:anny_393@gmx.at" TargetMode="External"/><Relationship Id="rId152" Type="http://schemas.openxmlformats.org/officeDocument/2006/relationships/hyperlink" Target="mailto:brendaruck@zeelandnet.nl" TargetMode="External"/><Relationship Id="rId173" Type="http://schemas.openxmlformats.org/officeDocument/2006/relationships/hyperlink" Target="mailto:tamara.d.hersperger@gmail.com" TargetMode="External"/><Relationship Id="rId19" Type="http://schemas.openxmlformats.org/officeDocument/2006/relationships/hyperlink" Target="mailto:m.sander@elektrobartels.de" TargetMode="External"/><Relationship Id="rId14" Type="http://schemas.openxmlformats.org/officeDocument/2006/relationships/hyperlink" Target="mailto:bettina.ri@t-online.de" TargetMode="External"/><Relationship Id="rId30" Type="http://schemas.openxmlformats.org/officeDocument/2006/relationships/hyperlink" Target="mailto:c.urban@hamburg.de" TargetMode="External"/><Relationship Id="rId35" Type="http://schemas.openxmlformats.org/officeDocument/2006/relationships/hyperlink" Target="mailto:kuppler2@t-online.de" TargetMode="External"/><Relationship Id="rId56" Type="http://schemas.openxmlformats.org/officeDocument/2006/relationships/hyperlink" Target="mailto:sbrech.180904@guest.booking.com" TargetMode="External"/><Relationship Id="rId77" Type="http://schemas.openxmlformats.org/officeDocument/2006/relationships/hyperlink" Target="mailto:nadia.koesters@gmx.de" TargetMode="External"/><Relationship Id="rId100" Type="http://schemas.openxmlformats.org/officeDocument/2006/relationships/hyperlink" Target="mailto:manuelakill@gmx.de" TargetMode="External"/><Relationship Id="rId105" Type="http://schemas.openxmlformats.org/officeDocument/2006/relationships/hyperlink" Target="mailto:coccinelle60@gmail.com" TargetMode="External"/><Relationship Id="rId126" Type="http://schemas.openxmlformats.org/officeDocument/2006/relationships/hyperlink" Target="mailto:dede7@pt.lu" TargetMode="External"/><Relationship Id="rId147" Type="http://schemas.openxmlformats.org/officeDocument/2006/relationships/hyperlink" Target="mailto:dinouardnadie@hotmail.fr" TargetMode="External"/><Relationship Id="rId168" Type="http://schemas.openxmlformats.org/officeDocument/2006/relationships/hyperlink" Target="mailto:rckuhn@web.de" TargetMode="External"/><Relationship Id="rId8" Type="http://schemas.openxmlformats.org/officeDocument/2006/relationships/hyperlink" Target="mailto:janine@felix-weber.com" TargetMode="External"/><Relationship Id="rId51" Type="http://schemas.openxmlformats.org/officeDocument/2006/relationships/hyperlink" Target="mailto:Pfostenberg@aol.com" TargetMode="External"/><Relationship Id="rId72" Type="http://schemas.openxmlformats.org/officeDocument/2006/relationships/hyperlink" Target="mailto:to.m@me.com" TargetMode="External"/><Relationship Id="rId93" Type="http://schemas.openxmlformats.org/officeDocument/2006/relationships/hyperlink" Target="mailto:zobjackm@yahoo.de" TargetMode="External"/><Relationship Id="rId98" Type="http://schemas.openxmlformats.org/officeDocument/2006/relationships/hyperlink" Target="mailto:neetenbeek@imail.de" TargetMode="External"/><Relationship Id="rId121" Type="http://schemas.openxmlformats.org/officeDocument/2006/relationships/hyperlink" Target="mailto:kiki.tipunch@wanadoo.fr" TargetMode="External"/><Relationship Id="rId142" Type="http://schemas.openxmlformats.org/officeDocument/2006/relationships/hyperlink" Target="mailto:rolland.josee@gmail.com" TargetMode="External"/><Relationship Id="rId163" Type="http://schemas.openxmlformats.org/officeDocument/2006/relationships/hyperlink" Target="mailto:family@schlup.net" TargetMode="External"/><Relationship Id="rId3" Type="http://schemas.openxmlformats.org/officeDocument/2006/relationships/hyperlink" Target="mailto:b.meyer-lueters@videx.de" TargetMode="External"/><Relationship Id="rId25" Type="http://schemas.openxmlformats.org/officeDocument/2006/relationships/hyperlink" Target="mailto:tmuellerteufel@email.de" TargetMode="External"/><Relationship Id="rId46" Type="http://schemas.openxmlformats.org/officeDocument/2006/relationships/hyperlink" Target="mailto:joerg.gottwald@hotmail.de" TargetMode="External"/><Relationship Id="rId67" Type="http://schemas.openxmlformats.org/officeDocument/2006/relationships/hyperlink" Target="mailto:asurbeck@t-online.de" TargetMode="External"/><Relationship Id="rId116" Type="http://schemas.openxmlformats.org/officeDocument/2006/relationships/hyperlink" Target="mailto:movet.jean-pierre@neuf.fr" TargetMode="External"/><Relationship Id="rId137" Type="http://schemas.openxmlformats.org/officeDocument/2006/relationships/hyperlink" Target="mailto:marchal@woodfashion.com" TargetMode="External"/><Relationship Id="rId158" Type="http://schemas.openxmlformats.org/officeDocument/2006/relationships/hyperlink" Target="mailto:lea.beck@live.fr" TargetMode="External"/><Relationship Id="rId20" Type="http://schemas.openxmlformats.org/officeDocument/2006/relationships/hyperlink" Target="mailto:nadine.schuler@uniklinikum-saarland.de" TargetMode="External"/><Relationship Id="rId41" Type="http://schemas.openxmlformats.org/officeDocument/2006/relationships/hyperlink" Target="mailto:rainer.wittemann@hotmail.de" TargetMode="External"/><Relationship Id="rId62" Type="http://schemas.openxmlformats.org/officeDocument/2006/relationships/hyperlink" Target="mailto:karin.voneicken@gmx.de" TargetMode="External"/><Relationship Id="rId83" Type="http://schemas.openxmlformats.org/officeDocument/2006/relationships/hyperlink" Target="mailto:beateritter@t-online.de" TargetMode="External"/><Relationship Id="rId88" Type="http://schemas.openxmlformats.org/officeDocument/2006/relationships/hyperlink" Target="mailto:m.inhafer@live.de" TargetMode="External"/><Relationship Id="rId111" Type="http://schemas.openxmlformats.org/officeDocument/2006/relationships/hyperlink" Target="mailto:rodriguenavlet@hotmail.com" TargetMode="External"/><Relationship Id="rId132" Type="http://schemas.openxmlformats.org/officeDocument/2006/relationships/hyperlink" Target="mailto:davidb39@hotmail.fr" TargetMode="External"/><Relationship Id="rId153" Type="http://schemas.openxmlformats.org/officeDocument/2006/relationships/hyperlink" Target="mailto:tran.giang@me.com" TargetMode="External"/><Relationship Id="rId174" Type="http://schemas.openxmlformats.org/officeDocument/2006/relationships/hyperlink" Target="mailto:pn44905@GlaxoWellcome.co.uk" TargetMode="External"/><Relationship Id="rId179" Type="http://schemas.openxmlformats.org/officeDocument/2006/relationships/hyperlink" Target="mailto:nathalie.bourson@education.lu" TargetMode="External"/><Relationship Id="rId15" Type="http://schemas.openxmlformats.org/officeDocument/2006/relationships/hyperlink" Target="mailto:joerg.parzl@mellinundmellin.de" TargetMode="External"/><Relationship Id="rId36" Type="http://schemas.openxmlformats.org/officeDocument/2006/relationships/hyperlink" Target="mailto:axelschreiter@yahoo.de" TargetMode="External"/><Relationship Id="rId57" Type="http://schemas.openxmlformats.org/officeDocument/2006/relationships/hyperlink" Target="mailto:sandra@rudelwohl-zach.de" TargetMode="External"/><Relationship Id="rId106" Type="http://schemas.openxmlformats.org/officeDocument/2006/relationships/hyperlink" Target="mailto:nadja.scaglione@bluewin.ch" TargetMode="External"/><Relationship Id="rId127" Type="http://schemas.openxmlformats.org/officeDocument/2006/relationships/hyperlink" Target="mailto:s-demaret@wanadoo.fr" TargetMode="External"/><Relationship Id="rId10" Type="http://schemas.openxmlformats.org/officeDocument/2006/relationships/hyperlink" Target="mailto:cboedecker@arcor.de" TargetMode="External"/><Relationship Id="rId31" Type="http://schemas.openxmlformats.org/officeDocument/2006/relationships/hyperlink" Target="mailto:sonja.siekkoetter@ewetel.net" TargetMode="External"/><Relationship Id="rId52" Type="http://schemas.openxmlformats.org/officeDocument/2006/relationships/hyperlink" Target="mailto:anke.hillebrandt@tiscali.de" TargetMode="External"/><Relationship Id="rId73" Type="http://schemas.openxmlformats.org/officeDocument/2006/relationships/hyperlink" Target="mailto:michaelamandt@yahoo.de" TargetMode="External"/><Relationship Id="rId78" Type="http://schemas.openxmlformats.org/officeDocument/2006/relationships/hyperlink" Target="mailto:canderslemkens@aol.com" TargetMode="External"/><Relationship Id="rId94" Type="http://schemas.openxmlformats.org/officeDocument/2006/relationships/hyperlink" Target="mailto:shochreiter@gmx.de" TargetMode="External"/><Relationship Id="rId99" Type="http://schemas.openxmlformats.org/officeDocument/2006/relationships/hyperlink" Target="mailto:carmen.bilau-lehre@gmx.de" TargetMode="External"/><Relationship Id="rId101" Type="http://schemas.openxmlformats.org/officeDocument/2006/relationships/hyperlink" Target="mailto:thierry.amirgholami@outlook.de" TargetMode="External"/><Relationship Id="rId122" Type="http://schemas.openxmlformats.org/officeDocument/2006/relationships/hyperlink" Target="mailto:ed@ip-worldcom.ch" TargetMode="External"/><Relationship Id="rId143" Type="http://schemas.openxmlformats.org/officeDocument/2006/relationships/hyperlink" Target="mailto:sandra@erhart.ch" TargetMode="External"/><Relationship Id="rId148" Type="http://schemas.openxmlformats.org/officeDocument/2006/relationships/hyperlink" Target="mailto:peggy.wolsfeld@education.lu" TargetMode="External"/><Relationship Id="rId164" Type="http://schemas.openxmlformats.org/officeDocument/2006/relationships/hyperlink" Target="mailto:steph-cheyenne@orange.fr" TargetMode="External"/><Relationship Id="rId169" Type="http://schemas.openxmlformats.org/officeDocument/2006/relationships/hyperlink" Target="mailto:joyo67_04@yahoo.com" TargetMode="External"/><Relationship Id="rId4" Type="http://schemas.openxmlformats.org/officeDocument/2006/relationships/hyperlink" Target="mailto:mascha@blatow.de" TargetMode="External"/><Relationship Id="rId9" Type="http://schemas.openxmlformats.org/officeDocument/2006/relationships/hyperlink" Target="mailto:sabine.lenk@mri-online.de" TargetMode="External"/><Relationship Id="rId180" Type="http://schemas.openxmlformats.org/officeDocument/2006/relationships/printerSettings" Target="../printerSettings/printerSettings12.bin"/><Relationship Id="rId26" Type="http://schemas.openxmlformats.org/officeDocument/2006/relationships/hyperlink" Target="mailto:dres.sander@web.de" TargetMode="External"/><Relationship Id="rId47" Type="http://schemas.openxmlformats.org/officeDocument/2006/relationships/hyperlink" Target="mailto:x-oph@gmx.net" TargetMode="External"/><Relationship Id="rId68" Type="http://schemas.openxmlformats.org/officeDocument/2006/relationships/hyperlink" Target="mailto:star_moon4@hotmail.com" TargetMode="External"/><Relationship Id="rId89" Type="http://schemas.openxmlformats.org/officeDocument/2006/relationships/hyperlink" Target="mailto:mail@birgithoffmann.com" TargetMode="External"/><Relationship Id="rId112" Type="http://schemas.openxmlformats.org/officeDocument/2006/relationships/hyperlink" Target="mailto:mruethy@bluewin.ch" TargetMode="External"/><Relationship Id="rId133" Type="http://schemas.openxmlformats.org/officeDocument/2006/relationships/hyperlink" Target="mailto:GrangerM@bsci.com" TargetMode="External"/><Relationship Id="rId154" Type="http://schemas.openxmlformats.org/officeDocument/2006/relationships/hyperlink" Target="mailto:hortense.everett@gmail.com" TargetMode="External"/><Relationship Id="rId175" Type="http://schemas.openxmlformats.org/officeDocument/2006/relationships/hyperlink" Target="mailto:marc.dewasme@wanadoo.fr" TargetMode="External"/><Relationship Id="rId16" Type="http://schemas.openxmlformats.org/officeDocument/2006/relationships/hyperlink" Target="mailto:biggil@hotmail.de" TargetMode="External"/><Relationship Id="rId37" Type="http://schemas.openxmlformats.org/officeDocument/2006/relationships/hyperlink" Target="mailto:N.koeninger@web.de" TargetMode="External"/><Relationship Id="rId58" Type="http://schemas.openxmlformats.org/officeDocument/2006/relationships/hyperlink" Target="mailto:tina.albrecht712@gmail.com" TargetMode="External"/><Relationship Id="rId79" Type="http://schemas.openxmlformats.org/officeDocument/2006/relationships/hyperlink" Target="mailto:sandra@broekmann.de" TargetMode="External"/><Relationship Id="rId102" Type="http://schemas.openxmlformats.org/officeDocument/2006/relationships/hyperlink" Target="mailto:gesa.spike@gmx.de" TargetMode="External"/><Relationship Id="rId123" Type="http://schemas.openxmlformats.org/officeDocument/2006/relationships/hyperlink" Target="mailto:helene.losfelt@dbmail.com" TargetMode="External"/><Relationship Id="rId144" Type="http://schemas.openxmlformats.org/officeDocument/2006/relationships/hyperlink" Target="mailto:christele.mace@numericable.fr" TargetMode="External"/><Relationship Id="rId90" Type="http://schemas.openxmlformats.org/officeDocument/2006/relationships/hyperlink" Target="mailto:michelle.schneider@ptworldwide.de" TargetMode="External"/><Relationship Id="rId165" Type="http://schemas.openxmlformats.org/officeDocument/2006/relationships/hyperlink" Target="mailto:kmercedes300@aol.com" TargetMode="External"/><Relationship Id="rId27" Type="http://schemas.openxmlformats.org/officeDocument/2006/relationships/hyperlink" Target="mailto:praestk@aol.com" TargetMode="External"/><Relationship Id="rId48" Type="http://schemas.openxmlformats.org/officeDocument/2006/relationships/hyperlink" Target="mailto:c.nickaes-ley@gmx.de" TargetMode="External"/><Relationship Id="rId69" Type="http://schemas.openxmlformats.org/officeDocument/2006/relationships/hyperlink" Target="mailto:michael.boller@hartmann-werkzeugmarkt.de" TargetMode="External"/><Relationship Id="rId113" Type="http://schemas.openxmlformats.org/officeDocument/2006/relationships/hyperlink" Target="mailto:pierre.chalard@univ-bpclermont.fr" TargetMode="External"/><Relationship Id="rId134" Type="http://schemas.openxmlformats.org/officeDocument/2006/relationships/hyperlink" Target="mailto:evanlierde@coldsetprintingpartners.be" TargetMode="External"/><Relationship Id="rId80" Type="http://schemas.openxmlformats.org/officeDocument/2006/relationships/hyperlink" Target="mailto:faber@freiburger-buchhalter.com" TargetMode="External"/><Relationship Id="rId155" Type="http://schemas.openxmlformats.org/officeDocument/2006/relationships/hyperlink" Target="mailto:info@g-schlatter.ch" TargetMode="External"/><Relationship Id="rId176" Type="http://schemas.openxmlformats.org/officeDocument/2006/relationships/hyperlink" Target="mailto:zazoo382003@yahoo.de" TargetMode="External"/><Relationship Id="rId17" Type="http://schemas.openxmlformats.org/officeDocument/2006/relationships/hyperlink" Target="mailto:guenterkrauch@web.de" TargetMode="External"/><Relationship Id="rId38" Type="http://schemas.openxmlformats.org/officeDocument/2006/relationships/hyperlink" Target="mailto:Kinderhaus-Hauptmann@web.de" TargetMode="External"/><Relationship Id="rId59" Type="http://schemas.openxmlformats.org/officeDocument/2006/relationships/hyperlink" Target="mailto:jeanette@piram.de" TargetMode="External"/><Relationship Id="rId103" Type="http://schemas.openxmlformats.org/officeDocument/2006/relationships/hyperlink" Target="mailto:sebastien.cornu@bluewin.ch" TargetMode="External"/><Relationship Id="rId124" Type="http://schemas.openxmlformats.org/officeDocument/2006/relationships/hyperlink" Target="mailto:Fabrice.FLAMME@spw.wallonie.be" TargetMode="External"/><Relationship Id="rId70" Type="http://schemas.openxmlformats.org/officeDocument/2006/relationships/hyperlink" Target="mailto:nicole.kuss@stadt.graz.at" TargetMode="External"/><Relationship Id="rId91" Type="http://schemas.openxmlformats.org/officeDocument/2006/relationships/hyperlink" Target="mailto:luna8311@googlemail.com" TargetMode="External"/><Relationship Id="rId145" Type="http://schemas.openxmlformats.org/officeDocument/2006/relationships/hyperlink" Target="mailto:erwanhubert@free.fr" TargetMode="External"/><Relationship Id="rId166" Type="http://schemas.openxmlformats.org/officeDocument/2006/relationships/hyperlink" Target="mailto:brigittechanteloube@wanadoo.fr" TargetMode="External"/><Relationship Id="rId1" Type="http://schemas.openxmlformats.org/officeDocument/2006/relationships/hyperlink" Target="mailto:wallnergmbh@t-online.de" TargetMode="External"/></Relationships>
</file>

<file path=xl/worksheets/_rels/sheet28.xml.rels><?xml version="1.0" encoding="UTF-8" standalone="yes"?>
<Relationships xmlns="http://schemas.openxmlformats.org/package/2006/relationships"><Relationship Id="rId26" Type="http://schemas.openxmlformats.org/officeDocument/2006/relationships/hyperlink" Target="mailto:christiansen@bk-erkelenz.de" TargetMode="External"/><Relationship Id="rId21" Type="http://schemas.openxmlformats.org/officeDocument/2006/relationships/hyperlink" Target="mailto:tilo@gmx.de" TargetMode="External"/><Relationship Id="rId42" Type="http://schemas.openxmlformats.org/officeDocument/2006/relationships/hyperlink" Target="mailto:martindoherr@t-online.de" TargetMode="External"/><Relationship Id="rId47" Type="http://schemas.openxmlformats.org/officeDocument/2006/relationships/hyperlink" Target="mailto:astrigl@gmx.de" TargetMode="External"/><Relationship Id="rId63" Type="http://schemas.openxmlformats.org/officeDocument/2006/relationships/hyperlink" Target="mailto:sandra@rudelwohl-zach.de" TargetMode="External"/><Relationship Id="rId68" Type="http://schemas.openxmlformats.org/officeDocument/2006/relationships/hyperlink" Target="mailto:kmercedes300@aol.com" TargetMode="External"/><Relationship Id="rId84" Type="http://schemas.openxmlformats.org/officeDocument/2006/relationships/hyperlink" Target="mailto:markuspalm@hotmail.de" TargetMode="External"/><Relationship Id="rId89" Type="http://schemas.openxmlformats.org/officeDocument/2006/relationships/hyperlink" Target="mailto:stef-heinrich@web.de" TargetMode="External"/><Relationship Id="rId16" Type="http://schemas.openxmlformats.org/officeDocument/2006/relationships/hyperlink" Target="mailto:biggil@hotmail.de" TargetMode="External"/><Relationship Id="rId11" Type="http://schemas.openxmlformats.org/officeDocument/2006/relationships/hyperlink" Target="mailto:jutta.holnburger@gmx.de" TargetMode="External"/><Relationship Id="rId32" Type="http://schemas.openxmlformats.org/officeDocument/2006/relationships/hyperlink" Target="mailto:c.urban@hamburg.de" TargetMode="External"/><Relationship Id="rId37" Type="http://schemas.openxmlformats.org/officeDocument/2006/relationships/hyperlink" Target="mailto:kuppler2@t-online.de" TargetMode="External"/><Relationship Id="rId53" Type="http://schemas.openxmlformats.org/officeDocument/2006/relationships/hyperlink" Target="mailto:info@g-schlatter.ch" TargetMode="External"/><Relationship Id="rId58" Type="http://schemas.openxmlformats.org/officeDocument/2006/relationships/hyperlink" Target="mailto:anke.hillebrandt@tiscali.de" TargetMode="External"/><Relationship Id="rId74" Type="http://schemas.openxmlformats.org/officeDocument/2006/relationships/hyperlink" Target="mailto:star_moon4@hotmail.com" TargetMode="External"/><Relationship Id="rId79" Type="http://schemas.openxmlformats.org/officeDocument/2006/relationships/hyperlink" Target="mailto:to.m@me.com" TargetMode="External"/><Relationship Id="rId5" Type="http://schemas.openxmlformats.org/officeDocument/2006/relationships/hyperlink" Target="mailto:b.meyer-lueters@videx.de" TargetMode="External"/><Relationship Id="rId90" Type="http://schemas.openxmlformats.org/officeDocument/2006/relationships/hyperlink" Target="mailto:anny_393@gmx.at" TargetMode="External"/><Relationship Id="rId95" Type="http://schemas.openxmlformats.org/officeDocument/2006/relationships/hyperlink" Target="mailto:neetenbeek@imail.de" TargetMode="External"/><Relationship Id="rId22" Type="http://schemas.openxmlformats.org/officeDocument/2006/relationships/hyperlink" Target="mailto:kerri1409@googlemail.com" TargetMode="External"/><Relationship Id="rId27" Type="http://schemas.openxmlformats.org/officeDocument/2006/relationships/hyperlink" Target="mailto:dres.sander@web.de" TargetMode="External"/><Relationship Id="rId43" Type="http://schemas.openxmlformats.org/officeDocument/2006/relationships/hyperlink" Target="mailto:stephan.kobel@swissonline.ch" TargetMode="External"/><Relationship Id="rId48" Type="http://schemas.openxmlformats.org/officeDocument/2006/relationships/hyperlink" Target="mailto:elke@betten-hausen.de" TargetMode="External"/><Relationship Id="rId64" Type="http://schemas.openxmlformats.org/officeDocument/2006/relationships/hyperlink" Target="mailto:tina.albrecht712@gmail.com" TargetMode="External"/><Relationship Id="rId69" Type="http://schemas.openxmlformats.org/officeDocument/2006/relationships/hyperlink" Target="mailto:karin.voneicken@gmx.de" TargetMode="External"/><Relationship Id="rId80" Type="http://schemas.openxmlformats.org/officeDocument/2006/relationships/hyperlink" Target="mailto:michaelamandt@yahoo.de" TargetMode="External"/><Relationship Id="rId85" Type="http://schemas.openxmlformats.org/officeDocument/2006/relationships/hyperlink" Target="mailto:nadia.koesters@gmx.de" TargetMode="External"/><Relationship Id="rId3" Type="http://schemas.openxmlformats.org/officeDocument/2006/relationships/hyperlink" Target="mailto:BeateSchweitzer@hotmail.com" TargetMode="External"/><Relationship Id="rId12" Type="http://schemas.openxmlformats.org/officeDocument/2006/relationships/hyperlink" Target="mailto:markus.kandels@web.de" TargetMode="External"/><Relationship Id="rId17" Type="http://schemas.openxmlformats.org/officeDocument/2006/relationships/hyperlink" Target="mailto:guenterkrauch@web.de" TargetMode="External"/><Relationship Id="rId25" Type="http://schemas.openxmlformats.org/officeDocument/2006/relationships/hyperlink" Target="mailto:tmuellerteufel@email.de" TargetMode="External"/><Relationship Id="rId33" Type="http://schemas.openxmlformats.org/officeDocument/2006/relationships/hyperlink" Target="mailto:sonja.siekkoetter@ewetel.net" TargetMode="External"/><Relationship Id="rId38" Type="http://schemas.openxmlformats.org/officeDocument/2006/relationships/hyperlink" Target="mailto:sandra@erhart.ch" TargetMode="External"/><Relationship Id="rId46" Type="http://schemas.openxmlformats.org/officeDocument/2006/relationships/hyperlink" Target="mailto:cbtkw@email.de" TargetMode="External"/><Relationship Id="rId59" Type="http://schemas.openxmlformats.org/officeDocument/2006/relationships/hyperlink" Target="mailto:convento@t-online.de" TargetMode="External"/><Relationship Id="rId67" Type="http://schemas.openxmlformats.org/officeDocument/2006/relationships/hyperlink" Target="mailto:sandra@broekmann.de" TargetMode="External"/><Relationship Id="rId20" Type="http://schemas.openxmlformats.org/officeDocument/2006/relationships/hyperlink" Target="mailto:nadine.schuler@uniklinikum-saarland.de" TargetMode="External"/><Relationship Id="rId41" Type="http://schemas.openxmlformats.org/officeDocument/2006/relationships/hyperlink" Target="mailto:Kinderhaus-Hauptmann@web.de" TargetMode="External"/><Relationship Id="rId54" Type="http://schemas.openxmlformats.org/officeDocument/2006/relationships/hyperlink" Target="mailto:birgittdoll@aol.com" TargetMode="External"/><Relationship Id="rId62" Type="http://schemas.openxmlformats.org/officeDocument/2006/relationships/hyperlink" Target="mailto:sbrech.180904@guest.booking.com" TargetMode="External"/><Relationship Id="rId70" Type="http://schemas.openxmlformats.org/officeDocument/2006/relationships/hyperlink" Target="mailto:fg@pflegermais.at" TargetMode="External"/><Relationship Id="rId75" Type="http://schemas.openxmlformats.org/officeDocument/2006/relationships/hyperlink" Target="mailto:rckuhn@web.de" TargetMode="External"/><Relationship Id="rId83" Type="http://schemas.openxmlformats.org/officeDocument/2006/relationships/hyperlink" Target="mailto:ingrid.hanisch@freenet.de" TargetMode="External"/><Relationship Id="rId88" Type="http://schemas.openxmlformats.org/officeDocument/2006/relationships/hyperlink" Target="mailto:faber@freiburger-buchhalter.com" TargetMode="External"/><Relationship Id="rId91" Type="http://schemas.openxmlformats.org/officeDocument/2006/relationships/hyperlink" Target="mailto:beateritter@t-online.de" TargetMode="External"/><Relationship Id="rId96" Type="http://schemas.openxmlformats.org/officeDocument/2006/relationships/hyperlink" Target="mailto:carmen.bilau-lehre@gmx.de" TargetMode="External"/><Relationship Id="rId1" Type="http://schemas.openxmlformats.org/officeDocument/2006/relationships/hyperlink" Target="mailto:reinhardt@osw-eschbach.de" TargetMode="External"/><Relationship Id="rId6" Type="http://schemas.openxmlformats.org/officeDocument/2006/relationships/hyperlink" Target="mailto:mangold.lth@arcor.de" TargetMode="External"/><Relationship Id="rId15" Type="http://schemas.openxmlformats.org/officeDocument/2006/relationships/hyperlink" Target="mailto:bettina.ri@t-online.de" TargetMode="External"/><Relationship Id="rId23" Type="http://schemas.openxmlformats.org/officeDocument/2006/relationships/hyperlink" Target="mailto:eifelinfo@t-online.de" TargetMode="External"/><Relationship Id="rId28" Type="http://schemas.openxmlformats.org/officeDocument/2006/relationships/hyperlink" Target="mailto:praestk@aol.com" TargetMode="External"/><Relationship Id="rId36" Type="http://schemas.openxmlformats.org/officeDocument/2006/relationships/hyperlink" Target="mailto:silvio_kell@yahoo.de" TargetMode="External"/><Relationship Id="rId49" Type="http://schemas.openxmlformats.org/officeDocument/2006/relationships/hyperlink" Target="mailto:n.mueller@radio-homburg.de" TargetMode="External"/><Relationship Id="rId57" Type="http://schemas.openxmlformats.org/officeDocument/2006/relationships/hyperlink" Target="mailto:Pfostenberg@aol.com" TargetMode="External"/><Relationship Id="rId10" Type="http://schemas.openxmlformats.org/officeDocument/2006/relationships/hyperlink" Target="mailto:cboedecker@arcor.de" TargetMode="External"/><Relationship Id="rId31" Type="http://schemas.openxmlformats.org/officeDocument/2006/relationships/hyperlink" Target="mailto:nadja@schlup.net" TargetMode="External"/><Relationship Id="rId44" Type="http://schemas.openxmlformats.org/officeDocument/2006/relationships/hyperlink" Target="mailto:paloma13@gmx.de" TargetMode="External"/><Relationship Id="rId52" Type="http://schemas.openxmlformats.org/officeDocument/2006/relationships/hyperlink" Target="mailto:c.nickaes-ley@gmx.de" TargetMode="External"/><Relationship Id="rId60" Type="http://schemas.openxmlformats.org/officeDocument/2006/relationships/hyperlink" Target="mailto:jhugow@snafu.de" TargetMode="External"/><Relationship Id="rId65" Type="http://schemas.openxmlformats.org/officeDocument/2006/relationships/hyperlink" Target="mailto:jeanette@piram.de" TargetMode="External"/><Relationship Id="rId73" Type="http://schemas.openxmlformats.org/officeDocument/2006/relationships/hyperlink" Target="mailto:f.hain@gmx.de" TargetMode="External"/><Relationship Id="rId78" Type="http://schemas.openxmlformats.org/officeDocument/2006/relationships/hyperlink" Target="mailto:frieder.schaefer@gmx.de" TargetMode="External"/><Relationship Id="rId81" Type="http://schemas.openxmlformats.org/officeDocument/2006/relationships/hyperlink" Target="mailto:joyo67_04@yahoo.com" TargetMode="External"/><Relationship Id="rId86" Type="http://schemas.openxmlformats.org/officeDocument/2006/relationships/hyperlink" Target="mailto:canderslemkens@aol.com" TargetMode="External"/><Relationship Id="rId94" Type="http://schemas.openxmlformats.org/officeDocument/2006/relationships/hyperlink" Target="mailto:mail@birgithoffmann.com" TargetMode="External"/><Relationship Id="rId4" Type="http://schemas.openxmlformats.org/officeDocument/2006/relationships/hyperlink" Target="mailto:nadja.scaglione@bluewin.ch" TargetMode="External"/><Relationship Id="rId9" Type="http://schemas.openxmlformats.org/officeDocument/2006/relationships/hyperlink" Target="mailto:sabine.lenk@mri-online.de" TargetMode="External"/><Relationship Id="rId13" Type="http://schemas.openxmlformats.org/officeDocument/2006/relationships/hyperlink" Target="mailto:peter.seuss@googlemail.com" TargetMode="External"/><Relationship Id="rId18" Type="http://schemas.openxmlformats.org/officeDocument/2006/relationships/hyperlink" Target="mailto:andreas.grimm2@web.de" TargetMode="External"/><Relationship Id="rId39" Type="http://schemas.openxmlformats.org/officeDocument/2006/relationships/hyperlink" Target="mailto:axelschreiter@yahoo.de" TargetMode="External"/><Relationship Id="rId34" Type="http://schemas.openxmlformats.org/officeDocument/2006/relationships/hyperlink" Target="mailto:lindner1984@yahoo.de" TargetMode="External"/><Relationship Id="rId50" Type="http://schemas.openxmlformats.org/officeDocument/2006/relationships/hyperlink" Target="mailto:joerg.gottwald@hotmail.de" TargetMode="External"/><Relationship Id="rId55" Type="http://schemas.openxmlformats.org/officeDocument/2006/relationships/hyperlink" Target="mailto:ratilgner@aol.com" TargetMode="External"/><Relationship Id="rId76" Type="http://schemas.openxmlformats.org/officeDocument/2006/relationships/hyperlink" Target="mailto:michael.boller@hartmann-werkzeugmarkt.de" TargetMode="External"/><Relationship Id="rId97" Type="http://schemas.openxmlformats.org/officeDocument/2006/relationships/hyperlink" Target="mailto:manuelakill@gmx.de" TargetMode="External"/><Relationship Id="rId7" Type="http://schemas.openxmlformats.org/officeDocument/2006/relationships/hyperlink" Target="mailto:christina.gerberding@t-online.de" TargetMode="External"/><Relationship Id="rId71" Type="http://schemas.openxmlformats.org/officeDocument/2006/relationships/hyperlink" Target="mailto:gmmanzi@aol.com" TargetMode="External"/><Relationship Id="rId92" Type="http://schemas.openxmlformats.org/officeDocument/2006/relationships/hyperlink" Target="mailto:to.m@me.com" TargetMode="External"/><Relationship Id="rId2" Type="http://schemas.openxmlformats.org/officeDocument/2006/relationships/hyperlink" Target="mailto:wallnergmbh@t-online.de" TargetMode="External"/><Relationship Id="rId29" Type="http://schemas.openxmlformats.org/officeDocument/2006/relationships/hyperlink" Target="mailto:niegengerd@hotmail.com" TargetMode="External"/><Relationship Id="rId24" Type="http://schemas.openxmlformats.org/officeDocument/2006/relationships/hyperlink" Target="mailto:ingrid.hanisch@freenet.de" TargetMode="External"/><Relationship Id="rId40" Type="http://schemas.openxmlformats.org/officeDocument/2006/relationships/hyperlink" Target="mailto:N.koeninger@web.de" TargetMode="External"/><Relationship Id="rId45" Type="http://schemas.openxmlformats.org/officeDocument/2006/relationships/hyperlink" Target="mailto:rainer.wittemann@hotmail.de" TargetMode="External"/><Relationship Id="rId66" Type="http://schemas.openxmlformats.org/officeDocument/2006/relationships/hyperlink" Target="mailto:k.nemeth24@googlemail.com" TargetMode="External"/><Relationship Id="rId87" Type="http://schemas.openxmlformats.org/officeDocument/2006/relationships/hyperlink" Target="mailto:sandra@broekmann.de" TargetMode="External"/><Relationship Id="rId61" Type="http://schemas.openxmlformats.org/officeDocument/2006/relationships/hyperlink" Target="mailto:i.slavicek@t-online.de" TargetMode="External"/><Relationship Id="rId82" Type="http://schemas.openxmlformats.org/officeDocument/2006/relationships/hyperlink" Target="mailto:alwin_steiner@gmx.de" TargetMode="External"/><Relationship Id="rId19" Type="http://schemas.openxmlformats.org/officeDocument/2006/relationships/hyperlink" Target="mailto:m.sander@elektrobartels.de" TargetMode="External"/><Relationship Id="rId14" Type="http://schemas.openxmlformats.org/officeDocument/2006/relationships/hyperlink" Target="mailto:heimuehle@t-online.de" TargetMode="External"/><Relationship Id="rId30" Type="http://schemas.openxmlformats.org/officeDocument/2006/relationships/hyperlink" Target="mailto:ruth@rademacher-suess.de" TargetMode="External"/><Relationship Id="rId35" Type="http://schemas.openxmlformats.org/officeDocument/2006/relationships/hyperlink" Target="mailto:tf.thomasfranke@t-online.de" TargetMode="External"/><Relationship Id="rId56" Type="http://schemas.openxmlformats.org/officeDocument/2006/relationships/hyperlink" Target="mailto:wegwart@web.de" TargetMode="External"/><Relationship Id="rId77" Type="http://schemas.openxmlformats.org/officeDocument/2006/relationships/hyperlink" Target="mailto:nicole.kuss@stadt.graz.at" TargetMode="External"/><Relationship Id="rId8" Type="http://schemas.openxmlformats.org/officeDocument/2006/relationships/hyperlink" Target="mailto:janine@felix-weber.com" TargetMode="External"/><Relationship Id="rId51" Type="http://schemas.openxmlformats.org/officeDocument/2006/relationships/hyperlink" Target="mailto:x-oph@gmx.net" TargetMode="External"/><Relationship Id="rId72" Type="http://schemas.openxmlformats.org/officeDocument/2006/relationships/hyperlink" Target="mailto:katrin.fahr@googlemail.com" TargetMode="External"/><Relationship Id="rId93" Type="http://schemas.openxmlformats.org/officeDocument/2006/relationships/hyperlink" Target="mailto:mayon23@gmx.de" TargetMode="External"/><Relationship Id="rId98" Type="http://schemas.openxmlformats.org/officeDocument/2006/relationships/hyperlink" Target="mailto:tanjaS1990@gmx.net" TargetMode="External"/></Relationships>
</file>

<file path=xl/worksheets/_rels/sheet29.xml.rels><?xml version="1.0" encoding="UTF-8" standalone="yes"?>
<Relationships xmlns="http://schemas.openxmlformats.org/package/2006/relationships"><Relationship Id="rId117" Type="http://schemas.openxmlformats.org/officeDocument/2006/relationships/hyperlink" Target="mailto:lotharemmerling@kabelmail.de" TargetMode="External"/><Relationship Id="rId21" Type="http://schemas.openxmlformats.org/officeDocument/2006/relationships/hyperlink" Target="mailto:kieksi77@yahoo.de?subject=Ihre%20Anfrage%20&#252;ber%20hunde-urlaub.net" TargetMode="External"/><Relationship Id="rId42" Type="http://schemas.openxmlformats.org/officeDocument/2006/relationships/hyperlink" Target="mailto:u.lawrenz@gmx.de?subject=Ihre%20Anfrage%20&#252;ber%20hunde-urlaub.net" TargetMode="External"/><Relationship Id="rId63" Type="http://schemas.openxmlformats.org/officeDocument/2006/relationships/hyperlink" Target="mailto:brenntano88@gmail.com" TargetMode="External"/><Relationship Id="rId84" Type="http://schemas.openxmlformats.org/officeDocument/2006/relationships/hyperlink" Target="mailto:canderslemkens@aol.com" TargetMode="External"/><Relationship Id="rId138" Type="http://schemas.openxmlformats.org/officeDocument/2006/relationships/hyperlink" Target="mailto:wpg58@web.de" TargetMode="External"/><Relationship Id="rId159" Type="http://schemas.openxmlformats.org/officeDocument/2006/relationships/hyperlink" Target="mailto:vivi-andy@gmx.de" TargetMode="External"/><Relationship Id="rId170" Type="http://schemas.openxmlformats.org/officeDocument/2006/relationships/hyperlink" Target="mailto:regula456@gmail.com" TargetMode="External"/><Relationship Id="rId107" Type="http://schemas.openxmlformats.org/officeDocument/2006/relationships/hyperlink" Target="mailto:j.petra@t-online.de" TargetMode="External"/><Relationship Id="rId11" Type="http://schemas.openxmlformats.org/officeDocument/2006/relationships/hyperlink" Target="mailto:brittab6@gmail.com?subject=Ihre%20Anfrage%20&#252;ber%20hunde-urlaub.net" TargetMode="External"/><Relationship Id="rId32" Type="http://schemas.openxmlformats.org/officeDocument/2006/relationships/hyperlink" Target="mailto:breel1401@web.de?subject=Ihre%20Anfrage%20&#252;ber%20hunde-urlaub.net" TargetMode="External"/><Relationship Id="rId53" Type="http://schemas.openxmlformats.org/officeDocument/2006/relationships/hyperlink" Target="mailto:t.gottschlich@gmx.com" TargetMode="External"/><Relationship Id="rId74" Type="http://schemas.openxmlformats.org/officeDocument/2006/relationships/hyperlink" Target="mailto:dworschak-viktualienmarkt@t-online.de" TargetMode="External"/><Relationship Id="rId128" Type="http://schemas.openxmlformats.org/officeDocument/2006/relationships/hyperlink" Target="mailto:info@dogschool.de" TargetMode="External"/><Relationship Id="rId149" Type="http://schemas.openxmlformats.org/officeDocument/2006/relationships/hyperlink" Target="mailto:samanthabaumann@hotmail.com" TargetMode="External"/><Relationship Id="rId5" Type="http://schemas.openxmlformats.org/officeDocument/2006/relationships/hyperlink" Target="mailto:mechthild-neumueller@web.de?subject=Ihre%20Anfrage%20&#252;ber%20hunde-urlaub.net" TargetMode="External"/><Relationship Id="rId95" Type="http://schemas.openxmlformats.org/officeDocument/2006/relationships/hyperlink" Target="mailto:to.m@me.com" TargetMode="External"/><Relationship Id="rId160" Type="http://schemas.openxmlformats.org/officeDocument/2006/relationships/hyperlink" Target="mailto:Kobras@gmx.net" TargetMode="External"/><Relationship Id="rId22" Type="http://schemas.openxmlformats.org/officeDocument/2006/relationships/hyperlink" Target="mailto:bgm@scheibbs.gv.at?subject=Ihre%20Anfrage%20&#252;ber%20hunde-urlaub.net" TargetMode="External"/><Relationship Id="rId43" Type="http://schemas.openxmlformats.org/officeDocument/2006/relationships/hyperlink" Target="mailto:filjanele@googlemail.com?subject=Ihre%20Anfrage%20&#252;ber%20hunde-urlaub.net" TargetMode="External"/><Relationship Id="rId64" Type="http://schemas.openxmlformats.org/officeDocument/2006/relationships/hyperlink" Target="mailto:rocky.caro2015@gmail.de" TargetMode="External"/><Relationship Id="rId118" Type="http://schemas.openxmlformats.org/officeDocument/2006/relationships/hyperlink" Target="mailto:isabel.boecking@gmx.de" TargetMode="External"/><Relationship Id="rId139" Type="http://schemas.openxmlformats.org/officeDocument/2006/relationships/hyperlink" Target="mailto:marion.koenig@holzbau-trier.com" TargetMode="External"/><Relationship Id="rId85" Type="http://schemas.openxmlformats.org/officeDocument/2006/relationships/hyperlink" Target="mailto:biggi.hess@t-online.de" TargetMode="External"/><Relationship Id="rId150" Type="http://schemas.openxmlformats.org/officeDocument/2006/relationships/hyperlink" Target="mailto:heinke.waldbaur@gmx.de" TargetMode="External"/><Relationship Id="rId171" Type="http://schemas.openxmlformats.org/officeDocument/2006/relationships/hyperlink" Target="mailto:fredie1850@gmail.com" TargetMode="External"/><Relationship Id="rId12" Type="http://schemas.openxmlformats.org/officeDocument/2006/relationships/hyperlink" Target="mailto:Arancha1209@aol.com?subject=Ihre%20Anfrage%20&#252;ber%20hunde-urlaub.net" TargetMode="External"/><Relationship Id="rId33" Type="http://schemas.openxmlformats.org/officeDocument/2006/relationships/hyperlink" Target="mailto:alexandra.unz@gmx.de?subject=Ihre%20Anfrage%20&#252;ber%20hunde-urlaub.net" TargetMode="External"/><Relationship Id="rId108" Type="http://schemas.openxmlformats.org/officeDocument/2006/relationships/hyperlink" Target="mailto:m.schulli@web.de" TargetMode="External"/><Relationship Id="rId129" Type="http://schemas.openxmlformats.org/officeDocument/2006/relationships/hyperlink" Target="mailto:aline.dino@hotmail.com" TargetMode="External"/><Relationship Id="rId54" Type="http://schemas.openxmlformats.org/officeDocument/2006/relationships/hyperlink" Target="mailto:petra_schindler-wilkins@web.de" TargetMode="External"/><Relationship Id="rId70" Type="http://schemas.openxmlformats.org/officeDocument/2006/relationships/hyperlink" Target="mailto:Kiam73@t-online.de" TargetMode="External"/><Relationship Id="rId75" Type="http://schemas.openxmlformats.org/officeDocument/2006/relationships/hyperlink" Target="mailto:beateritter@t-online.de" TargetMode="External"/><Relationship Id="rId91" Type="http://schemas.openxmlformats.org/officeDocument/2006/relationships/hyperlink" Target="mailto:Schaub-Diersburg@t-online.de" TargetMode="External"/><Relationship Id="rId96" Type="http://schemas.openxmlformats.org/officeDocument/2006/relationships/hyperlink" Target="mailto:tabatha.braun@gmx.ch" TargetMode="External"/><Relationship Id="rId140" Type="http://schemas.openxmlformats.org/officeDocument/2006/relationships/hyperlink" Target="mailto:rbodenhausen@gmx.de" TargetMode="External"/><Relationship Id="rId145" Type="http://schemas.openxmlformats.org/officeDocument/2006/relationships/hyperlink" Target="mailto:kerstin@barcelona4u.com" TargetMode="External"/><Relationship Id="rId161" Type="http://schemas.openxmlformats.org/officeDocument/2006/relationships/hyperlink" Target="mailto:Trebels@aol.com" TargetMode="External"/><Relationship Id="rId166" Type="http://schemas.openxmlformats.org/officeDocument/2006/relationships/hyperlink" Target="mailto:t.kutzner@t-online.de" TargetMode="External"/><Relationship Id="rId1" Type="http://schemas.openxmlformats.org/officeDocument/2006/relationships/hyperlink" Target="mailto:Marinahoffmann82@aol.com?subject=Ihre%20Anfrage%20auf%20hunde-urlaub.net" TargetMode="External"/><Relationship Id="rId6" Type="http://schemas.openxmlformats.org/officeDocument/2006/relationships/hyperlink" Target="mailto:funandjoy83@googlemail.com?subject=Ihre%20Anfrage%20&#252;ber%20hunde-urlaub.net" TargetMode="External"/><Relationship Id="rId23" Type="http://schemas.openxmlformats.org/officeDocument/2006/relationships/hyperlink" Target="mailto:Monrade@aol.com?subject=Ihre%20Anfrage%20&#252;ber%20hunde-urlaub.net" TargetMode="External"/><Relationship Id="rId28" Type="http://schemas.openxmlformats.org/officeDocument/2006/relationships/hyperlink" Target="mailto:info@guellergravuren.ch?subject=Ihre%20Anfrage%20&#252;ber%20hunde-urlaub.net" TargetMode="External"/><Relationship Id="rId49" Type="http://schemas.openxmlformats.org/officeDocument/2006/relationships/hyperlink" Target="mailto:steffi2109@googlemail.com" TargetMode="External"/><Relationship Id="rId114" Type="http://schemas.openxmlformats.org/officeDocument/2006/relationships/hyperlink" Target="mailto:monika-herzig@bluewin.ch" TargetMode="External"/><Relationship Id="rId119" Type="http://schemas.openxmlformats.org/officeDocument/2006/relationships/hyperlink" Target="mailto:anja.teppler@t-online.de" TargetMode="External"/><Relationship Id="rId44" Type="http://schemas.openxmlformats.org/officeDocument/2006/relationships/hyperlink" Target="mailto:regula.bauriedl@gmx.ch?subject=Ihre%20Anfrage%20&#252;ber%20hunde-urlaub.net" TargetMode="External"/><Relationship Id="rId60" Type="http://schemas.openxmlformats.org/officeDocument/2006/relationships/hyperlink" Target="mailto:d.luwald@web.de" TargetMode="External"/><Relationship Id="rId65" Type="http://schemas.openxmlformats.org/officeDocument/2006/relationships/hyperlink" Target="mailto:ramona.mandok@web.de" TargetMode="External"/><Relationship Id="rId81" Type="http://schemas.openxmlformats.org/officeDocument/2006/relationships/hyperlink" Target="mailto:meindl12@t-online.de" TargetMode="External"/><Relationship Id="rId86" Type="http://schemas.openxmlformats.org/officeDocument/2006/relationships/hyperlink" Target="mailto:sabinec@arcor.de" TargetMode="External"/><Relationship Id="rId130" Type="http://schemas.openxmlformats.org/officeDocument/2006/relationships/hyperlink" Target="mailto:xexaxa@gmx.net?subject=Ihre%20Anfrage%20&#252;ber%20hunde-urlaub.net" TargetMode="External"/><Relationship Id="rId135" Type="http://schemas.openxmlformats.org/officeDocument/2006/relationships/hyperlink" Target="mailto:rcln-bauer@t-online.de" TargetMode="External"/><Relationship Id="rId151" Type="http://schemas.openxmlformats.org/officeDocument/2006/relationships/hyperlink" Target="mailto:andre.katja@googlemail.com" TargetMode="External"/><Relationship Id="rId156" Type="http://schemas.openxmlformats.org/officeDocument/2006/relationships/hyperlink" Target="mailto:rakato-arndt@t-online.de" TargetMode="External"/><Relationship Id="rId172" Type="http://schemas.openxmlformats.org/officeDocument/2006/relationships/printerSettings" Target="../printerSettings/printerSettings13.bin"/><Relationship Id="rId13" Type="http://schemas.openxmlformats.org/officeDocument/2006/relationships/hyperlink" Target="mailto:mail@katharinaklimza.de?subject=Ihre%20Anfrage%20&#252;ber%20hunde-urlaub.net" TargetMode="External"/><Relationship Id="rId18" Type="http://schemas.openxmlformats.org/officeDocument/2006/relationships/hyperlink" Target="mailto:Nadja.kathrin.engel@icloud.com?subject=Ihre%20Anfrage%20&#252;ber%20hunde-urlaub.net" TargetMode="External"/><Relationship Id="rId39" Type="http://schemas.openxmlformats.org/officeDocument/2006/relationships/hyperlink" Target="mailto:hein.silke@kabelmail.de?subject=Ihre%20Anfrage%20&#252;ber%20hunde-urlaub.net" TargetMode="External"/><Relationship Id="rId109" Type="http://schemas.openxmlformats.org/officeDocument/2006/relationships/hyperlink" Target="mailto:jochen.schmitt1974@gmail.com" TargetMode="External"/><Relationship Id="rId34" Type="http://schemas.openxmlformats.org/officeDocument/2006/relationships/hyperlink" Target="mailto:s.niess3107@gmail.com?subject=Ihre%20Anfrage%20&#252;ber%20hunde-urlaub.net" TargetMode="External"/><Relationship Id="rId50" Type="http://schemas.openxmlformats.org/officeDocument/2006/relationships/hyperlink" Target="mailto:melaniefolta@gmx.de" TargetMode="External"/><Relationship Id="rId55" Type="http://schemas.openxmlformats.org/officeDocument/2006/relationships/hyperlink" Target="mailto:kiki@istanders.de" TargetMode="External"/><Relationship Id="rId76" Type="http://schemas.openxmlformats.org/officeDocument/2006/relationships/hyperlink" Target="mailto:anny_393@gmx.at" TargetMode="External"/><Relationship Id="rId97" Type="http://schemas.openxmlformats.org/officeDocument/2006/relationships/hyperlink" Target="mailto:Arielle071@web.de" TargetMode="External"/><Relationship Id="rId104" Type="http://schemas.openxmlformats.org/officeDocument/2006/relationships/hyperlink" Target="mailto:michael.boller@hartmann-werkzeugmarkt.de" TargetMode="External"/><Relationship Id="rId120" Type="http://schemas.openxmlformats.org/officeDocument/2006/relationships/hyperlink" Target="mailto:katrin.fahr@googlemail.com" TargetMode="External"/><Relationship Id="rId125" Type="http://schemas.openxmlformats.org/officeDocument/2006/relationships/hyperlink" Target="mailto:anette.kaeser@yahoo.com" TargetMode="External"/><Relationship Id="rId141" Type="http://schemas.openxmlformats.org/officeDocument/2006/relationships/hyperlink" Target="mailto:urlauber2018@gmx.de" TargetMode="External"/><Relationship Id="rId146" Type="http://schemas.openxmlformats.org/officeDocument/2006/relationships/hyperlink" Target="mailto:kolodziej@live.at" TargetMode="External"/><Relationship Id="rId167" Type="http://schemas.openxmlformats.org/officeDocument/2006/relationships/hyperlink" Target="mailto:bruellheidi@gmx.net" TargetMode="External"/><Relationship Id="rId7" Type="http://schemas.openxmlformats.org/officeDocument/2006/relationships/hyperlink" Target="mailto:nadine.kretz@gmx.de?subject=Ihre%20Anfrage%20&#252;ber%20hunde-urlaub.net" TargetMode="External"/><Relationship Id="rId71" Type="http://schemas.openxmlformats.org/officeDocument/2006/relationships/hyperlink" Target="mailto:s.gieseud.hartung@t-online.de" TargetMode="External"/><Relationship Id="rId92" Type="http://schemas.openxmlformats.org/officeDocument/2006/relationships/hyperlink" Target="mailto:brenntano88@gmail.com" TargetMode="External"/><Relationship Id="rId162" Type="http://schemas.openxmlformats.org/officeDocument/2006/relationships/hyperlink" Target="mailto:jeannette.hadam@googlemail.com" TargetMode="External"/><Relationship Id="rId2" Type="http://schemas.openxmlformats.org/officeDocument/2006/relationships/hyperlink" Target="mailto:Martina881979@hotmail.de?subject=Ihre%20Anfrage%20auf%20hunde-urlaub.net" TargetMode="External"/><Relationship Id="rId29" Type="http://schemas.openxmlformats.org/officeDocument/2006/relationships/hyperlink" Target="mailto:dietmar_juergens@t-online.de?subject=Ihre%20Anfrage%20&#252;ber%20hunde-urlaub.net" TargetMode="External"/><Relationship Id="rId24" Type="http://schemas.openxmlformats.org/officeDocument/2006/relationships/hyperlink" Target="mailto:susannefandre@gmx.de?subject=Ihre%20Anfrage%20&#252;ber%20hunde-urlaub.net" TargetMode="External"/><Relationship Id="rId40" Type="http://schemas.openxmlformats.org/officeDocument/2006/relationships/hyperlink" Target="mailto:jgliga123@mailbox.com?subject=Ihre%20Anfrage%20&#252;ber%20hunde-urlaub.net" TargetMode="External"/><Relationship Id="rId45" Type="http://schemas.openxmlformats.org/officeDocument/2006/relationships/hyperlink" Target="mailto:j.blienert@kinderheilstaette.de?subject=Ihre%20Anfrage%20&#252;ber%20hunde-urlaub.net" TargetMode="External"/><Relationship Id="rId66" Type="http://schemas.openxmlformats.org/officeDocument/2006/relationships/hyperlink" Target="mailto:patrick.varga1@gmail.com" TargetMode="External"/><Relationship Id="rId87" Type="http://schemas.openxmlformats.org/officeDocument/2006/relationships/hyperlink" Target="mailto:anjakuehn1981@live.de" TargetMode="External"/><Relationship Id="rId110" Type="http://schemas.openxmlformats.org/officeDocument/2006/relationships/hyperlink" Target="mailto:star_moon4@hotmail.com" TargetMode="External"/><Relationship Id="rId115" Type="http://schemas.openxmlformats.org/officeDocument/2006/relationships/hyperlink" Target="mailto:sandra.thillmann@gmail.com" TargetMode="External"/><Relationship Id="rId131" Type="http://schemas.openxmlformats.org/officeDocument/2006/relationships/hyperlink" Target="mailto:Brigitte.vw@bluewin.ch" TargetMode="External"/><Relationship Id="rId136" Type="http://schemas.openxmlformats.org/officeDocument/2006/relationships/hyperlink" Target="mailto:steffi.kruppa@arcor.de" TargetMode="External"/><Relationship Id="rId157" Type="http://schemas.openxmlformats.org/officeDocument/2006/relationships/hyperlink" Target="mailto:katjamr@posteo.de" TargetMode="External"/><Relationship Id="rId61" Type="http://schemas.openxmlformats.org/officeDocument/2006/relationships/hyperlink" Target="mailto:kopp_nicole76@yahoo.de" TargetMode="External"/><Relationship Id="rId82" Type="http://schemas.openxmlformats.org/officeDocument/2006/relationships/hyperlink" Target="mailto:faber@freiburger-buchhalter.com" TargetMode="External"/><Relationship Id="rId152" Type="http://schemas.openxmlformats.org/officeDocument/2006/relationships/hyperlink" Target="mailto:ana.pais@online.de" TargetMode="External"/><Relationship Id="rId19" Type="http://schemas.openxmlformats.org/officeDocument/2006/relationships/hyperlink" Target="mailto:c.najda@t-online.de?subject=Ihre%20Anfrage%20&#252;ber%20hunde-urlaub.net" TargetMode="External"/><Relationship Id="rId14" Type="http://schemas.openxmlformats.org/officeDocument/2006/relationships/hyperlink" Target="mailto:Julia.dose@gmx.de?subject=Ihre%20Anfrage%20&#252;ber%20hunde-urlaub.net" TargetMode="External"/><Relationship Id="rId30" Type="http://schemas.openxmlformats.org/officeDocument/2006/relationships/hyperlink" Target="mailto:ch.weiler63@web.de?subject=Ihre%20Anfrage%20&#252;ber%20hunde-urlaub.net" TargetMode="External"/><Relationship Id="rId35" Type="http://schemas.openxmlformats.org/officeDocument/2006/relationships/hyperlink" Target="mailto:capitainha@t-online.de?subject=Ihre%20Anfrage%20&#252;ber%20hunde-urlaub.net" TargetMode="External"/><Relationship Id="rId56" Type="http://schemas.openxmlformats.org/officeDocument/2006/relationships/hyperlink" Target="mailto:vera.hoebusch@t-online.de" TargetMode="External"/><Relationship Id="rId77" Type="http://schemas.openxmlformats.org/officeDocument/2006/relationships/hyperlink" Target="mailto:ryser.ittigen@bluewin.ch" TargetMode="External"/><Relationship Id="rId100" Type="http://schemas.openxmlformats.org/officeDocument/2006/relationships/hyperlink" Target="mailto:charlotte.pascoletti@gmail.com" TargetMode="External"/><Relationship Id="rId105" Type="http://schemas.openxmlformats.org/officeDocument/2006/relationships/hyperlink" Target="mailto:ralphschindler@gmx.de" TargetMode="External"/><Relationship Id="rId126" Type="http://schemas.openxmlformats.org/officeDocument/2006/relationships/hyperlink" Target="mailto:gabiundriva@t-online.de" TargetMode="External"/><Relationship Id="rId147" Type="http://schemas.openxmlformats.org/officeDocument/2006/relationships/hyperlink" Target="mailto:carola.klaiber@gmail.com" TargetMode="External"/><Relationship Id="rId168" Type="http://schemas.openxmlformats.org/officeDocument/2006/relationships/hyperlink" Target="mailto:anna.pavlova@gmx.de" TargetMode="External"/><Relationship Id="rId8" Type="http://schemas.openxmlformats.org/officeDocument/2006/relationships/hyperlink" Target="mailto:bruno.brandl@yahoo.de?subject=Ihre%20Anfrage%20&#252;ber%20hunde-urlaub.net" TargetMode="External"/><Relationship Id="rId51" Type="http://schemas.openxmlformats.org/officeDocument/2006/relationships/hyperlink" Target="mailto:corneliameyerhoff@freenet.de" TargetMode="External"/><Relationship Id="rId72" Type="http://schemas.openxmlformats.org/officeDocument/2006/relationships/hyperlink" Target="mailto:ingo@naturheilpraxis-rasch.de" TargetMode="External"/><Relationship Id="rId93" Type="http://schemas.openxmlformats.org/officeDocument/2006/relationships/hyperlink" Target="mailto:Kirsten.Funck@web.de" TargetMode="External"/><Relationship Id="rId98" Type="http://schemas.openxmlformats.org/officeDocument/2006/relationships/hyperlink" Target="mailto:tonygalli@gmx.de" TargetMode="External"/><Relationship Id="rId121" Type="http://schemas.openxmlformats.org/officeDocument/2006/relationships/hyperlink" Target="mailto:michaelamandt@yahoo.de" TargetMode="External"/><Relationship Id="rId142" Type="http://schemas.openxmlformats.org/officeDocument/2006/relationships/hyperlink" Target="mailto:sweti@frankseemann.de" TargetMode="External"/><Relationship Id="rId163" Type="http://schemas.openxmlformats.org/officeDocument/2006/relationships/hyperlink" Target="mailto:uli_walzik@hotmail.de" TargetMode="External"/><Relationship Id="rId3" Type="http://schemas.openxmlformats.org/officeDocument/2006/relationships/hyperlink" Target="mailto:Usmotorcycles@web.de?subject=Ihre%20Anfrage%20auf%20hunde-urlaub.net" TargetMode="External"/><Relationship Id="rId25" Type="http://schemas.openxmlformats.org/officeDocument/2006/relationships/hyperlink" Target="mailto:kieksi77@yahoo.de?subject=Ihre%20Anfrage%20&#252;ber%20hunde-urlaub.net" TargetMode="External"/><Relationship Id="rId46" Type="http://schemas.openxmlformats.org/officeDocument/2006/relationships/hyperlink" Target="mailto:Christiane.egner@web.de?subject=Ihre%20Anfrage%20&#252;ber%20hunde-urlaub.net" TargetMode="External"/><Relationship Id="rId67" Type="http://schemas.openxmlformats.org/officeDocument/2006/relationships/hyperlink" Target="mailto:sabine.vutirakis@yahoo.com" TargetMode="External"/><Relationship Id="rId116" Type="http://schemas.openxmlformats.org/officeDocument/2006/relationships/hyperlink" Target="mailto:NikoWalter49@yahoo.de" TargetMode="External"/><Relationship Id="rId137" Type="http://schemas.openxmlformats.org/officeDocument/2006/relationships/hyperlink" Target="mailto:inken_weiss@web.de" TargetMode="External"/><Relationship Id="rId158" Type="http://schemas.openxmlformats.org/officeDocument/2006/relationships/hyperlink" Target="mailto:Dr.ulrike.deike@gmail.com" TargetMode="External"/><Relationship Id="rId20" Type="http://schemas.openxmlformats.org/officeDocument/2006/relationships/hyperlink" Target="mailto:Nadja.kathrin.engel@icloud.com?subject=Ihre%20Anfrage%20&#252;ber%20hunde-urlaub.net" TargetMode="External"/><Relationship Id="rId41" Type="http://schemas.openxmlformats.org/officeDocument/2006/relationships/hyperlink" Target="mailto:Kimberley0911@gmail.com?subject=Ihre%20Anfrage%20&#252;ber%20hunde-urlaub.net" TargetMode="External"/><Relationship Id="rId62" Type="http://schemas.openxmlformats.org/officeDocument/2006/relationships/hyperlink" Target="mailto:mail@birgithoffmann.com" TargetMode="External"/><Relationship Id="rId83" Type="http://schemas.openxmlformats.org/officeDocument/2006/relationships/hyperlink" Target="mailto:angel-roman@gmx.de" TargetMode="External"/><Relationship Id="rId88" Type="http://schemas.openxmlformats.org/officeDocument/2006/relationships/hyperlink" Target="mailto:saschafrank83@gmx.de" TargetMode="External"/><Relationship Id="rId111" Type="http://schemas.openxmlformats.org/officeDocument/2006/relationships/hyperlink" Target="mailto:f.hain@gmx.de" TargetMode="External"/><Relationship Id="rId132" Type="http://schemas.openxmlformats.org/officeDocument/2006/relationships/hyperlink" Target="mailto:yvonneschoene@aol.com" TargetMode="External"/><Relationship Id="rId153" Type="http://schemas.openxmlformats.org/officeDocument/2006/relationships/hyperlink" Target="mailto:serkan.oezdal@allianz.de" TargetMode="External"/><Relationship Id="rId15" Type="http://schemas.openxmlformats.org/officeDocument/2006/relationships/hyperlink" Target="mailto:k.p.moeller@t-online.de?subject=Ihre%20Anfrage%20&#252;ber%20hunde-urlaub.net" TargetMode="External"/><Relationship Id="rId36" Type="http://schemas.openxmlformats.org/officeDocument/2006/relationships/hyperlink" Target="mailto:gregfabi@me.com?subject=Ihre%20Anfrage%20&#252;ber%20hunde-urlaub.net" TargetMode="External"/><Relationship Id="rId57" Type="http://schemas.openxmlformats.org/officeDocument/2006/relationships/hyperlink" Target="mailto:kh9677@gmail.com" TargetMode="External"/><Relationship Id="rId106" Type="http://schemas.openxmlformats.org/officeDocument/2006/relationships/hyperlink" Target="mailto:monika.kluger@unitybox.de" TargetMode="External"/><Relationship Id="rId127" Type="http://schemas.openxmlformats.org/officeDocument/2006/relationships/hyperlink" Target="mailto:fanuto@t-online.de" TargetMode="External"/><Relationship Id="rId10" Type="http://schemas.openxmlformats.org/officeDocument/2006/relationships/hyperlink" Target="mailto:mlueck71@gmail.com?subject=Ihre%20Anfrage%20&#252;ber%20hunde-urlaub.net" TargetMode="External"/><Relationship Id="rId31" Type="http://schemas.openxmlformats.org/officeDocument/2006/relationships/hyperlink" Target="mailto:michelle.schneider@ptworldwide.de?subject=Ihre%20Anfrage%20&#252;ber%20hunde-urlaub.net" TargetMode="External"/><Relationship Id="rId52" Type="http://schemas.openxmlformats.org/officeDocument/2006/relationships/hyperlink" Target="mailto:jenniferkelm.91@web.de" TargetMode="External"/><Relationship Id="rId73" Type="http://schemas.openxmlformats.org/officeDocument/2006/relationships/hyperlink" Target="mailto:michaela.munsch@gmx.de" TargetMode="External"/><Relationship Id="rId78" Type="http://schemas.openxmlformats.org/officeDocument/2006/relationships/hyperlink" Target="mailto:kh9677@gmail.com" TargetMode="External"/><Relationship Id="rId94" Type="http://schemas.openxmlformats.org/officeDocument/2006/relationships/hyperlink" Target="mailto:alwin_steiner@gmx.de" TargetMode="External"/><Relationship Id="rId99" Type="http://schemas.openxmlformats.org/officeDocument/2006/relationships/hyperlink" Target="mailto:doro.mertin@gmx.de" TargetMode="External"/><Relationship Id="rId101" Type="http://schemas.openxmlformats.org/officeDocument/2006/relationships/hyperlink" Target="mailto:nicole.kuss@stadt.graz.at" TargetMode="External"/><Relationship Id="rId122" Type="http://schemas.openxmlformats.org/officeDocument/2006/relationships/hyperlink" Target="mailto:robinschmidtke@gmx.de" TargetMode="External"/><Relationship Id="rId143" Type="http://schemas.openxmlformats.org/officeDocument/2006/relationships/hyperlink" Target="mailto:Kinski-anais@web.de" TargetMode="External"/><Relationship Id="rId148" Type="http://schemas.openxmlformats.org/officeDocument/2006/relationships/hyperlink" Target="mailto:jacobpauline@web.de" TargetMode="External"/><Relationship Id="rId164" Type="http://schemas.openxmlformats.org/officeDocument/2006/relationships/hyperlink" Target="mailto:g.rothuber@modul4.at" TargetMode="External"/><Relationship Id="rId169" Type="http://schemas.openxmlformats.org/officeDocument/2006/relationships/hyperlink" Target="mailto:hillemacher@t-online.de" TargetMode="External"/><Relationship Id="rId4" Type="http://schemas.openxmlformats.org/officeDocument/2006/relationships/hyperlink" Target="mailto:skotschy@aol.com?subject=Ihre%20Anfrage%20&#252;ber%20hunde-urlaub.net" TargetMode="External"/><Relationship Id="rId9" Type="http://schemas.openxmlformats.org/officeDocument/2006/relationships/hyperlink" Target="mailto:marion.donath@web.de?subject=Ihre%20Anfrage%20&#252;ber%20hunde-urlaub.net" TargetMode="External"/><Relationship Id="rId26" Type="http://schemas.openxmlformats.org/officeDocument/2006/relationships/hyperlink" Target="mailto:k.sonnenfeld92@gmail.com?subject=Ihre%20Anfrage%20&#252;ber%20hunde-urlaub.net" TargetMode="External"/><Relationship Id="rId47" Type="http://schemas.openxmlformats.org/officeDocument/2006/relationships/hyperlink" Target="mailto:brigi212@gmail.com?subject=Ihre%20Anfrage%20&#252;ber%20hunde-urlaub.net" TargetMode="External"/><Relationship Id="rId68" Type="http://schemas.openxmlformats.org/officeDocument/2006/relationships/hyperlink" Target="mailto:solmersitz@t-online.de" TargetMode="External"/><Relationship Id="rId89" Type="http://schemas.openxmlformats.org/officeDocument/2006/relationships/hyperlink" Target="mailto:markuspalm@hotmail.de" TargetMode="External"/><Relationship Id="rId112" Type="http://schemas.openxmlformats.org/officeDocument/2006/relationships/hyperlink" Target="mailto:silviavielhauer@airconv.de" TargetMode="External"/><Relationship Id="rId133" Type="http://schemas.openxmlformats.org/officeDocument/2006/relationships/hyperlink" Target="mailto:brigi212@gmail.com" TargetMode="External"/><Relationship Id="rId154" Type="http://schemas.openxmlformats.org/officeDocument/2006/relationships/hyperlink" Target="mailto:kakatschinka@yahoo.com" TargetMode="External"/><Relationship Id="rId16" Type="http://schemas.openxmlformats.org/officeDocument/2006/relationships/hyperlink" Target="mailto:wickwick@t-online.de?subject=Ihre%20Anfrage%20&#252;ber%20hunde-urlaub.net" TargetMode="External"/><Relationship Id="rId37" Type="http://schemas.openxmlformats.org/officeDocument/2006/relationships/hyperlink" Target="mailto:sandy.ramer@gmx.ch?subject=Ihre%20Anfrage%20&#252;ber%20hunde-urlaub.net" TargetMode="External"/><Relationship Id="rId58" Type="http://schemas.openxmlformats.org/officeDocument/2006/relationships/hyperlink" Target="mailto:r.juhra@yahoo.de" TargetMode="External"/><Relationship Id="rId79" Type="http://schemas.openxmlformats.org/officeDocument/2006/relationships/hyperlink" Target="mailto:stef-heinrich@web.de" TargetMode="External"/><Relationship Id="rId102" Type="http://schemas.openxmlformats.org/officeDocument/2006/relationships/hyperlink" Target="mailto:bonny10878@gmx.de" TargetMode="External"/><Relationship Id="rId123" Type="http://schemas.openxmlformats.org/officeDocument/2006/relationships/hyperlink" Target="mailto:gruenewald.balu@t-online.de" TargetMode="External"/><Relationship Id="rId144" Type="http://schemas.openxmlformats.org/officeDocument/2006/relationships/hyperlink" Target="mailto:carola.klaiber@gmail.com" TargetMode="External"/><Relationship Id="rId90" Type="http://schemas.openxmlformats.org/officeDocument/2006/relationships/hyperlink" Target="mailto:u.momberg@web.de" TargetMode="External"/><Relationship Id="rId165" Type="http://schemas.openxmlformats.org/officeDocument/2006/relationships/hyperlink" Target="mailto:meixner_martina@web.de" TargetMode="External"/><Relationship Id="rId27" Type="http://schemas.openxmlformats.org/officeDocument/2006/relationships/hyperlink" Target="mailto:s-dreger@arcor.de?subject=Ihre%20Anfrage%20&#252;ber%20hunde-urlaub.net" TargetMode="External"/><Relationship Id="rId48" Type="http://schemas.openxmlformats.org/officeDocument/2006/relationships/hyperlink" Target="mailto:monika.puhe@gmx.de" TargetMode="External"/><Relationship Id="rId69" Type="http://schemas.openxmlformats.org/officeDocument/2006/relationships/hyperlink" Target="mailto:stefanie.opitz@gmx.net" TargetMode="External"/><Relationship Id="rId113" Type="http://schemas.openxmlformats.org/officeDocument/2006/relationships/hyperlink" Target="mailto:Arne.Kirchner@ahag-bochum.de" TargetMode="External"/><Relationship Id="rId134" Type="http://schemas.openxmlformats.org/officeDocument/2006/relationships/hyperlink" Target="mailto:Kati01111980@gmx.de" TargetMode="External"/><Relationship Id="rId80" Type="http://schemas.openxmlformats.org/officeDocument/2006/relationships/hyperlink" Target="mailto:marion.koenig@holzbau-trier.com" TargetMode="External"/><Relationship Id="rId155" Type="http://schemas.openxmlformats.org/officeDocument/2006/relationships/hyperlink" Target="mailto:yvi281@gmx.de" TargetMode="External"/><Relationship Id="rId17" Type="http://schemas.openxmlformats.org/officeDocument/2006/relationships/hyperlink" Target="mailto:dauphintania@me.com?subject=Ihre%20Anfrage%20&#252;ber%20hunde-urlaub.net" TargetMode="External"/><Relationship Id="rId38" Type="http://schemas.openxmlformats.org/officeDocument/2006/relationships/hyperlink" Target="mailto:B.Winter15@googlemail.com?subject=Ihre%20Anfrage%20&#252;ber%20hunde-urlaub.net" TargetMode="External"/><Relationship Id="rId59" Type="http://schemas.openxmlformats.org/officeDocument/2006/relationships/hyperlink" Target="mailto:Schmid.220575@web.de" TargetMode="External"/><Relationship Id="rId103" Type="http://schemas.openxmlformats.org/officeDocument/2006/relationships/hyperlink" Target="mailto:charlotte.pascoletti@gmail.com" TargetMode="External"/><Relationship Id="rId124" Type="http://schemas.openxmlformats.org/officeDocument/2006/relationships/hyperlink" Target="mailto:michael@ib-burkhart.de" TargetMode="Externa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hyperlink" Target="mailto:lucyblanc@gmail.com" TargetMode="External"/><Relationship Id="rId21" Type="http://schemas.openxmlformats.org/officeDocument/2006/relationships/hyperlink" Target="mailto:gaelle@touroul.com" TargetMode="External"/><Relationship Id="rId42" Type="http://schemas.openxmlformats.org/officeDocument/2006/relationships/hyperlink" Target="mailto:diane.dupont@ml.etat.lu" TargetMode="External"/><Relationship Id="rId63" Type="http://schemas.openxmlformats.org/officeDocument/2006/relationships/hyperlink" Target="mailto:armand@gesundes-laufen.com" TargetMode="External"/><Relationship Id="rId84" Type="http://schemas.openxmlformats.org/officeDocument/2006/relationships/hyperlink" Target="mailto:f.miertsch@web.de" TargetMode="External"/><Relationship Id="rId138" Type="http://schemas.openxmlformats.org/officeDocument/2006/relationships/hyperlink" Target="mailto:tina.schuette@t-online.de" TargetMode="External"/><Relationship Id="rId107" Type="http://schemas.openxmlformats.org/officeDocument/2006/relationships/hyperlink" Target="mailto:th.goth@goth-online.de" TargetMode="External"/><Relationship Id="rId11" Type="http://schemas.openxmlformats.org/officeDocument/2006/relationships/hyperlink" Target="mailto:m.pauli@a1.net" TargetMode="External"/><Relationship Id="rId32" Type="http://schemas.openxmlformats.org/officeDocument/2006/relationships/hyperlink" Target="mailto:yoannjulie@gmail.com" TargetMode="External"/><Relationship Id="rId53" Type="http://schemas.openxmlformats.org/officeDocument/2006/relationships/hyperlink" Target="mailto:luciane@pt.lu" TargetMode="External"/><Relationship Id="rId74" Type="http://schemas.openxmlformats.org/officeDocument/2006/relationships/hyperlink" Target="mailto:goldbeck@nanometric.de" TargetMode="External"/><Relationship Id="rId128" Type="http://schemas.openxmlformats.org/officeDocument/2006/relationships/hyperlink" Target="mailto:joegiesi@hotmail.com" TargetMode="External"/><Relationship Id="rId149" Type="http://schemas.openxmlformats.org/officeDocument/2006/relationships/hyperlink" Target="mailto:chimi66@gmx.de" TargetMode="External"/><Relationship Id="rId5" Type="http://schemas.openxmlformats.org/officeDocument/2006/relationships/hyperlink" Target="mailto:the217@web.de" TargetMode="External"/><Relationship Id="rId95" Type="http://schemas.openxmlformats.org/officeDocument/2006/relationships/hyperlink" Target="mailto:silke_lichtner@web.de" TargetMode="External"/><Relationship Id="rId22" Type="http://schemas.openxmlformats.org/officeDocument/2006/relationships/hyperlink" Target="mailto:c.kretschmer@terberg-de.de" TargetMode="External"/><Relationship Id="rId43" Type="http://schemas.openxmlformats.org/officeDocument/2006/relationships/hyperlink" Target="mailto:joyo67_04@yahoo.com" TargetMode="External"/><Relationship Id="rId64" Type="http://schemas.openxmlformats.org/officeDocument/2006/relationships/hyperlink" Target="mailto:alexandra.rockelsberg@gmx.de" TargetMode="External"/><Relationship Id="rId118" Type="http://schemas.openxmlformats.org/officeDocument/2006/relationships/hyperlink" Target="mailto:nicole.valente@bluewin.ch" TargetMode="External"/><Relationship Id="rId139" Type="http://schemas.openxmlformats.org/officeDocument/2006/relationships/hyperlink" Target="mailto:inge.reif@gmx.net" TargetMode="External"/><Relationship Id="rId80" Type="http://schemas.openxmlformats.org/officeDocument/2006/relationships/hyperlink" Target="mailto:stefan.brindt@gmx.net" TargetMode="External"/><Relationship Id="rId85" Type="http://schemas.openxmlformats.org/officeDocument/2006/relationships/hyperlink" Target="mailto:sandra@broekmann.de" TargetMode="External"/><Relationship Id="rId150" Type="http://schemas.openxmlformats.org/officeDocument/2006/relationships/hyperlink" Target="mailto:marion.petry@icloud.com" TargetMode="External"/><Relationship Id="rId155" Type="http://schemas.openxmlformats.org/officeDocument/2006/relationships/hyperlink" Target="mailto:xabbu13@bluewin.ch" TargetMode="External"/><Relationship Id="rId12" Type="http://schemas.openxmlformats.org/officeDocument/2006/relationships/hyperlink" Target="mailto:tamaraundmartin@bluewin.ch" TargetMode="External"/><Relationship Id="rId17" Type="http://schemas.openxmlformats.org/officeDocument/2006/relationships/hyperlink" Target="mailto:moty75510@hotmail.com" TargetMode="External"/><Relationship Id="rId33" Type="http://schemas.openxmlformats.org/officeDocument/2006/relationships/hyperlink" Target="mailto:info.samato@gmx.de" TargetMode="External"/><Relationship Id="rId38" Type="http://schemas.openxmlformats.org/officeDocument/2006/relationships/hyperlink" Target="mailto:kanzlei@anwaltskanzlei-tl.de" TargetMode="External"/><Relationship Id="rId59" Type="http://schemas.openxmlformats.org/officeDocument/2006/relationships/hyperlink" Target="mailto:heinz.scheuren@web.de" TargetMode="External"/><Relationship Id="rId103" Type="http://schemas.openxmlformats.org/officeDocument/2006/relationships/hyperlink" Target="mailto:Roestzeit@t-online.de" TargetMode="External"/><Relationship Id="rId108" Type="http://schemas.openxmlformats.org/officeDocument/2006/relationships/hyperlink" Target="mailto:el-baba@beauty-group-agentur.de" TargetMode="External"/><Relationship Id="rId124" Type="http://schemas.openxmlformats.org/officeDocument/2006/relationships/hyperlink" Target="mailto:claudia.wiesinger88@googlemail.com" TargetMode="External"/><Relationship Id="rId129" Type="http://schemas.openxmlformats.org/officeDocument/2006/relationships/hyperlink" Target="mailto:agnes.vandevonder@hotmail.com%20;jim.duez@gmail.com;" TargetMode="External"/><Relationship Id="rId54" Type="http://schemas.openxmlformats.org/officeDocument/2006/relationships/hyperlink" Target="mailto:arstoll@bluewin.ch" TargetMode="External"/><Relationship Id="rId70" Type="http://schemas.openxmlformats.org/officeDocument/2006/relationships/hyperlink" Target="mailto:kbrinkers@icloud.com" TargetMode="External"/><Relationship Id="rId75" Type="http://schemas.openxmlformats.org/officeDocument/2006/relationships/hyperlink" Target="mailto:kanzlei@anwaltskanzlei-tl.de" TargetMode="External"/><Relationship Id="rId91" Type="http://schemas.openxmlformats.org/officeDocument/2006/relationships/hyperlink" Target="mailto:ronmeier@zeelandnet.nl" TargetMode="External"/><Relationship Id="rId96" Type="http://schemas.openxmlformats.org/officeDocument/2006/relationships/hyperlink" Target="mailto:utejacobs@gmx.net" TargetMode="External"/><Relationship Id="rId140" Type="http://schemas.openxmlformats.org/officeDocument/2006/relationships/hyperlink" Target="mailto:s.g.blenk@gmail.com" TargetMode="External"/><Relationship Id="rId145" Type="http://schemas.openxmlformats.org/officeDocument/2006/relationships/hyperlink" Target="mailto:ronmeier@zeelandnet.nl" TargetMode="External"/><Relationship Id="rId1" Type="http://schemas.openxmlformats.org/officeDocument/2006/relationships/hyperlink" Target="mailto:waldemar.schmidt@pflegenundwohnen.de" TargetMode="External"/><Relationship Id="rId6" Type="http://schemas.openxmlformats.org/officeDocument/2006/relationships/hyperlink" Target="mailto:dirk@calzawara.de" TargetMode="External"/><Relationship Id="rId23" Type="http://schemas.openxmlformats.org/officeDocument/2006/relationships/hyperlink" Target="mailto:r.buttweiler@osteopathie-pfalz.de" TargetMode="External"/><Relationship Id="rId28" Type="http://schemas.openxmlformats.org/officeDocument/2006/relationships/hyperlink" Target="mailto:daenublaser@bluewin.ch" TargetMode="External"/><Relationship Id="rId49" Type="http://schemas.openxmlformats.org/officeDocument/2006/relationships/hyperlink" Target="mailto:bsg01@aol.com" TargetMode="External"/><Relationship Id="rId114" Type="http://schemas.openxmlformats.org/officeDocument/2006/relationships/hyperlink" Target="mailto:martine.geib@education.lu" TargetMode="External"/><Relationship Id="rId119" Type="http://schemas.openxmlformats.org/officeDocument/2006/relationships/hyperlink" Target="mailto:sk@codibel.be" TargetMode="External"/><Relationship Id="rId44" Type="http://schemas.openxmlformats.org/officeDocument/2006/relationships/hyperlink" Target="mailto:josefine.kirmis@web.de" TargetMode="External"/><Relationship Id="rId60" Type="http://schemas.openxmlformats.org/officeDocument/2006/relationships/hyperlink" Target="mailto:h.jeworski@gmx.net" TargetMode="External"/><Relationship Id="rId65" Type="http://schemas.openxmlformats.org/officeDocument/2006/relationships/hyperlink" Target="mailto:ellen.hetterich@yahoo.com" TargetMode="External"/><Relationship Id="rId81" Type="http://schemas.openxmlformats.org/officeDocument/2006/relationships/hyperlink" Target="mailto:benekamps@gmail.com" TargetMode="External"/><Relationship Id="rId86" Type="http://schemas.openxmlformats.org/officeDocument/2006/relationships/hyperlink" Target="mailto:jutta.greiner@gmx.net" TargetMode="External"/><Relationship Id="rId130" Type="http://schemas.openxmlformats.org/officeDocument/2006/relationships/hyperlink" Target="mailto:lorenzvolker@outlook.fr" TargetMode="External"/><Relationship Id="rId135" Type="http://schemas.openxmlformats.org/officeDocument/2006/relationships/hyperlink" Target="mailto:ronmeier@zeelandnet.nl" TargetMode="External"/><Relationship Id="rId151" Type="http://schemas.openxmlformats.org/officeDocument/2006/relationships/hyperlink" Target="mailto:n-schmid@bluewin.ch" TargetMode="External"/><Relationship Id="rId156" Type="http://schemas.openxmlformats.org/officeDocument/2006/relationships/hyperlink" Target="mailto:n.heri@bluewin.ch" TargetMode="External"/><Relationship Id="rId13" Type="http://schemas.openxmlformats.org/officeDocument/2006/relationships/hyperlink" Target="mailto:nicole.colacicco@gmail.com" TargetMode="External"/><Relationship Id="rId18" Type="http://schemas.openxmlformats.org/officeDocument/2006/relationships/hyperlink" Target="mailto:sylke.kuessner@gmail.com" TargetMode="External"/><Relationship Id="rId39" Type="http://schemas.openxmlformats.org/officeDocument/2006/relationships/hyperlink" Target="mailto:sylke.kuessner@gmail.com" TargetMode="External"/><Relationship Id="rId109" Type="http://schemas.openxmlformats.org/officeDocument/2006/relationships/hyperlink" Target="mailto:e.goth@goth-online.de" TargetMode="External"/><Relationship Id="rId34" Type="http://schemas.openxmlformats.org/officeDocument/2006/relationships/hyperlink" Target="mailto:armand@gesundes-laufen.com" TargetMode="External"/><Relationship Id="rId50" Type="http://schemas.openxmlformats.org/officeDocument/2006/relationships/hyperlink" Target="mailto:ronmeier@zeelandnet.nl" TargetMode="External"/><Relationship Id="rId55" Type="http://schemas.openxmlformats.org/officeDocument/2006/relationships/hyperlink" Target="mailto:martine.geib@education.lu" TargetMode="External"/><Relationship Id="rId76" Type="http://schemas.openxmlformats.org/officeDocument/2006/relationships/hyperlink" Target="mailto:christiane.kolschmann@gmx.de" TargetMode="External"/><Relationship Id="rId97" Type="http://schemas.openxmlformats.org/officeDocument/2006/relationships/hyperlink" Target="mailto:anke.wetter@web.de" TargetMode="External"/><Relationship Id="rId104" Type="http://schemas.openxmlformats.org/officeDocument/2006/relationships/hyperlink" Target="mailto:katja.ince@gmx.de" TargetMode="External"/><Relationship Id="rId120" Type="http://schemas.openxmlformats.org/officeDocument/2006/relationships/hyperlink" Target="mailto:agnes.vandevonder@hotmail.com" TargetMode="External"/><Relationship Id="rId125" Type="http://schemas.openxmlformats.org/officeDocument/2006/relationships/hyperlink" Target="mailto:c.tourscher54@gmail.com" TargetMode="External"/><Relationship Id="rId141" Type="http://schemas.openxmlformats.org/officeDocument/2006/relationships/hyperlink" Target="mailto:flori.zweifel@gmx.net" TargetMode="External"/><Relationship Id="rId146" Type="http://schemas.openxmlformats.org/officeDocument/2006/relationships/hyperlink" Target="mailto:dr.bernd.grunwald@t-online.de" TargetMode="External"/><Relationship Id="rId7" Type="http://schemas.openxmlformats.org/officeDocument/2006/relationships/hyperlink" Target="mailto:ulrike@haenel-duepree.de" TargetMode="External"/><Relationship Id="rId71" Type="http://schemas.openxmlformats.org/officeDocument/2006/relationships/hyperlink" Target="mailto:ajau@gmx.ch" TargetMode="External"/><Relationship Id="rId92" Type="http://schemas.openxmlformats.org/officeDocument/2006/relationships/hyperlink" Target="mailto:ajau@gmx.ch" TargetMode="External"/><Relationship Id="rId2" Type="http://schemas.openxmlformats.org/officeDocument/2006/relationships/hyperlink" Target="mailto:christes@unity-mail.de" TargetMode="External"/><Relationship Id="rId29" Type="http://schemas.openxmlformats.org/officeDocument/2006/relationships/hyperlink" Target="mailto:alexandra.rockelsberg@gmx.de" TargetMode="External"/><Relationship Id="rId24" Type="http://schemas.openxmlformats.org/officeDocument/2006/relationships/hyperlink" Target="mailto:brenneralex.ab@gmail.com" TargetMode="External"/><Relationship Id="rId40" Type="http://schemas.openxmlformats.org/officeDocument/2006/relationships/hyperlink" Target="mailto:b.czaja@mail.de" TargetMode="External"/><Relationship Id="rId45" Type="http://schemas.openxmlformats.org/officeDocument/2006/relationships/hyperlink" Target="mailto:abel-sabrina@gmx.net" TargetMode="External"/><Relationship Id="rId66" Type="http://schemas.openxmlformats.org/officeDocument/2006/relationships/hyperlink" Target="mailto:bo.odenthal@t-online.de" TargetMode="External"/><Relationship Id="rId87" Type="http://schemas.openxmlformats.org/officeDocument/2006/relationships/hyperlink" Target="mailto:mutz.sandra@googlemail.com" TargetMode="External"/><Relationship Id="rId110" Type="http://schemas.openxmlformats.org/officeDocument/2006/relationships/hyperlink" Target="mailto:mbeinlich@gmx.de" TargetMode="External"/><Relationship Id="rId115" Type="http://schemas.openxmlformats.org/officeDocument/2006/relationships/hyperlink" Target="mailto:denniswestphal73@gmail.com" TargetMode="External"/><Relationship Id="rId131" Type="http://schemas.openxmlformats.org/officeDocument/2006/relationships/hyperlink" Target="mailto:Anna-Maria.Danzl@gmx.at" TargetMode="External"/><Relationship Id="rId136" Type="http://schemas.openxmlformats.org/officeDocument/2006/relationships/hyperlink" Target="mailto:jaspar.cedric@hotmail.com" TargetMode="External"/><Relationship Id="rId157" Type="http://schemas.openxmlformats.org/officeDocument/2006/relationships/printerSettings" Target="../printerSettings/printerSettings3.bin"/><Relationship Id="rId61" Type="http://schemas.openxmlformats.org/officeDocument/2006/relationships/hyperlink" Target="mailto:bsg01@aol.com" TargetMode="External"/><Relationship Id="rId82" Type="http://schemas.openxmlformats.org/officeDocument/2006/relationships/hyperlink" Target="mailto:alexandra.rockelsberg@gmx.de" TargetMode="External"/><Relationship Id="rId152" Type="http://schemas.openxmlformats.org/officeDocument/2006/relationships/hyperlink" Target="mailto:gteutrine@teutrine.org" TargetMode="External"/><Relationship Id="rId19" Type="http://schemas.openxmlformats.org/officeDocument/2006/relationships/hyperlink" Target="mailto:bettinapaukstat@t-online.de" TargetMode="External"/><Relationship Id="rId14" Type="http://schemas.openxmlformats.org/officeDocument/2006/relationships/hyperlink" Target="mailto:befra.walter@arcor.de" TargetMode="External"/><Relationship Id="rId30" Type="http://schemas.openxmlformats.org/officeDocument/2006/relationships/hyperlink" Target="mailto:brenneralex.ab@gmail.com" TargetMode="External"/><Relationship Id="rId35" Type="http://schemas.openxmlformats.org/officeDocument/2006/relationships/hyperlink" Target="mailto:stro.stro@gmail.com" TargetMode="External"/><Relationship Id="rId56" Type="http://schemas.openxmlformats.org/officeDocument/2006/relationships/hyperlink" Target="mailto:dani.furrer@outlook.com" TargetMode="External"/><Relationship Id="rId77" Type="http://schemas.openxmlformats.org/officeDocument/2006/relationships/hyperlink" Target="mailto:s.epner@gmx.de" TargetMode="External"/><Relationship Id="rId100" Type="http://schemas.openxmlformats.org/officeDocument/2006/relationships/hyperlink" Target="mailto:julia.mauritz@vogel.de" TargetMode="External"/><Relationship Id="rId105" Type="http://schemas.openxmlformats.org/officeDocument/2006/relationships/hyperlink" Target="mailto:ben_ney@hotmail.com" TargetMode="External"/><Relationship Id="rId126" Type="http://schemas.openxmlformats.org/officeDocument/2006/relationships/hyperlink" Target="mailto:Levi.huck@gmx.de%20" TargetMode="External"/><Relationship Id="rId147" Type="http://schemas.openxmlformats.org/officeDocument/2006/relationships/hyperlink" Target="mailto:ibd@doerfler-bogen.de" TargetMode="External"/><Relationship Id="rId8" Type="http://schemas.openxmlformats.org/officeDocument/2006/relationships/hyperlink" Target="mailto:gerfried.knaeble@t-online.de" TargetMode="External"/><Relationship Id="rId51" Type="http://schemas.openxmlformats.org/officeDocument/2006/relationships/hyperlink" Target="mailto:droste.andre@gmail.com" TargetMode="External"/><Relationship Id="rId72" Type="http://schemas.openxmlformats.org/officeDocument/2006/relationships/hyperlink" Target="mailto:ronmeier@zeelandnet.nl" TargetMode="External"/><Relationship Id="rId93" Type="http://schemas.openxmlformats.org/officeDocument/2006/relationships/hyperlink" Target="mailto:s.epner@gmx.de" TargetMode="External"/><Relationship Id="rId98" Type="http://schemas.openxmlformats.org/officeDocument/2006/relationships/hyperlink" Target="mailto:morocutti@t-online.de" TargetMode="External"/><Relationship Id="rId121" Type="http://schemas.openxmlformats.org/officeDocument/2006/relationships/hyperlink" Target="mailto:a.spachmann@hotmail.de" TargetMode="External"/><Relationship Id="rId142" Type="http://schemas.openxmlformats.org/officeDocument/2006/relationships/hyperlink" Target="mailto:melli.marwede@gmail.com" TargetMode="External"/><Relationship Id="rId3" Type="http://schemas.openxmlformats.org/officeDocument/2006/relationships/hyperlink" Target="mailto:a.lukas@t-online.de" TargetMode="External"/><Relationship Id="rId25" Type="http://schemas.openxmlformats.org/officeDocument/2006/relationships/hyperlink" Target="mailto:olafgerber1@web.de" TargetMode="External"/><Relationship Id="rId46" Type="http://schemas.openxmlformats.org/officeDocument/2006/relationships/hyperlink" Target="mailto:madree2@yahoo.fr" TargetMode="External"/><Relationship Id="rId67" Type="http://schemas.openxmlformats.org/officeDocument/2006/relationships/hyperlink" Target="mailto:blackstream@gmx.net" TargetMode="External"/><Relationship Id="rId116" Type="http://schemas.openxmlformats.org/officeDocument/2006/relationships/hyperlink" Target="mailto:anika_milark@web.de" TargetMode="External"/><Relationship Id="rId137" Type="http://schemas.openxmlformats.org/officeDocument/2006/relationships/hyperlink" Target="mailto:sandra@broekmann.de" TargetMode="External"/><Relationship Id="rId20" Type="http://schemas.openxmlformats.org/officeDocument/2006/relationships/hyperlink" Target="mailto:charlotte.campagnolo@gmail.com" TargetMode="External"/><Relationship Id="rId41" Type="http://schemas.openxmlformats.org/officeDocument/2006/relationships/hyperlink" Target="mailto:pamela.willaschek@freenet.de" TargetMode="External"/><Relationship Id="rId62" Type="http://schemas.openxmlformats.org/officeDocument/2006/relationships/hyperlink" Target="mailto:pethei@msn.com" TargetMode="External"/><Relationship Id="rId83" Type="http://schemas.openxmlformats.org/officeDocument/2006/relationships/hyperlink" Target="mailto:ute_gerl@gmx.de" TargetMode="External"/><Relationship Id="rId88" Type="http://schemas.openxmlformats.org/officeDocument/2006/relationships/hyperlink" Target="mailto:wneuh641@gmail.com" TargetMode="External"/><Relationship Id="rId111" Type="http://schemas.openxmlformats.org/officeDocument/2006/relationships/hyperlink" Target="mailto:jfg33127@gmail.com" TargetMode="External"/><Relationship Id="rId132" Type="http://schemas.openxmlformats.org/officeDocument/2006/relationships/hyperlink" Target="mailto:ranja@farrag.net" TargetMode="External"/><Relationship Id="rId153" Type="http://schemas.openxmlformats.org/officeDocument/2006/relationships/hyperlink" Target="mailto:sebastian.cnota@freenet.de" TargetMode="External"/><Relationship Id="rId15" Type="http://schemas.openxmlformats.org/officeDocument/2006/relationships/hyperlink" Target="mailto:j.fondalinski@web.de" TargetMode="External"/><Relationship Id="rId36" Type="http://schemas.openxmlformats.org/officeDocument/2006/relationships/hyperlink" Target="mailto:jeremy.malor@gmail.com" TargetMode="External"/><Relationship Id="rId57" Type="http://schemas.openxmlformats.org/officeDocument/2006/relationships/hyperlink" Target="mailto:hardy.hecker@hhmobile.de" TargetMode="External"/><Relationship Id="rId106" Type="http://schemas.openxmlformats.org/officeDocument/2006/relationships/hyperlink" Target="mailto:schaefer_sabrina@gmx.de" TargetMode="External"/><Relationship Id="rId127" Type="http://schemas.openxmlformats.org/officeDocument/2006/relationships/hyperlink" Target="mailto:leporello@vodafone.de" TargetMode="External"/><Relationship Id="rId10" Type="http://schemas.openxmlformats.org/officeDocument/2006/relationships/hyperlink" Target="mailto:y.siegenthaler@hotmail.com" TargetMode="External"/><Relationship Id="rId31" Type="http://schemas.openxmlformats.org/officeDocument/2006/relationships/hyperlink" Target="mailto:nicjay@gmx.de" TargetMode="External"/><Relationship Id="rId52" Type="http://schemas.openxmlformats.org/officeDocument/2006/relationships/hyperlink" Target="mailto:gaelle@touroul.com" TargetMode="External"/><Relationship Id="rId73" Type="http://schemas.openxmlformats.org/officeDocument/2006/relationships/hyperlink" Target="mailto:e.mwuest@bluewin.ch" TargetMode="External"/><Relationship Id="rId78" Type="http://schemas.openxmlformats.org/officeDocument/2006/relationships/hyperlink" Target="mailto:j.kolling@online.de" TargetMode="External"/><Relationship Id="rId94" Type="http://schemas.openxmlformats.org/officeDocument/2006/relationships/hyperlink" Target="mailto:claire.moquet@gmail.com" TargetMode="External"/><Relationship Id="rId99" Type="http://schemas.openxmlformats.org/officeDocument/2006/relationships/hyperlink" Target="mailto:adrian.langer90@gmail.com" TargetMode="External"/><Relationship Id="rId101" Type="http://schemas.openxmlformats.org/officeDocument/2006/relationships/hyperlink" Target="mailto:info@neuberger-praezision.de" TargetMode="External"/><Relationship Id="rId122" Type="http://schemas.openxmlformats.org/officeDocument/2006/relationships/hyperlink" Target="mailto:sheidenreich@gmx.net" TargetMode="External"/><Relationship Id="rId143" Type="http://schemas.openxmlformats.org/officeDocument/2006/relationships/hyperlink" Target="mailto:cnmaenz@googlemail.com" TargetMode="External"/><Relationship Id="rId148" Type="http://schemas.openxmlformats.org/officeDocument/2006/relationships/hyperlink" Target="mailto:aschulte09@web.de" TargetMode="External"/><Relationship Id="rId4" Type="http://schemas.openxmlformats.org/officeDocument/2006/relationships/hyperlink" Target="mailto:bonjour.mandy18@gmail.com" TargetMode="External"/><Relationship Id="rId9" Type="http://schemas.openxmlformats.org/officeDocument/2006/relationships/hyperlink" Target="mailto:dunja.zieser@gmx.net" TargetMode="External"/><Relationship Id="rId26" Type="http://schemas.openxmlformats.org/officeDocument/2006/relationships/hyperlink" Target="mailto:gaelle@touroul.com" TargetMode="External"/><Relationship Id="rId47" Type="http://schemas.openxmlformats.org/officeDocument/2006/relationships/hyperlink" Target="mailto:sandra@broekmann.de" TargetMode="External"/><Relationship Id="rId68" Type="http://schemas.openxmlformats.org/officeDocument/2006/relationships/hyperlink" Target="mailto:mp.kohl@t-online.de" TargetMode="External"/><Relationship Id="rId89" Type="http://schemas.openxmlformats.org/officeDocument/2006/relationships/hyperlink" Target="mailto:katrin.schuhmacher@icloud.com" TargetMode="External"/><Relationship Id="rId112" Type="http://schemas.openxmlformats.org/officeDocument/2006/relationships/hyperlink" Target="mailto:iug-dutz@t-online.de" TargetMode="External"/><Relationship Id="rId133" Type="http://schemas.openxmlformats.org/officeDocument/2006/relationships/hyperlink" Target="mailto:ines.tenter@hotmail.de" TargetMode="External"/><Relationship Id="rId154" Type="http://schemas.openxmlformats.org/officeDocument/2006/relationships/hyperlink" Target="mailto:wolfsteiner.kerstin@gmx.at" TargetMode="External"/><Relationship Id="rId16" Type="http://schemas.openxmlformats.org/officeDocument/2006/relationships/hyperlink" Target="mailto:tatjana.roell@gmail.com" TargetMode="External"/><Relationship Id="rId37" Type="http://schemas.openxmlformats.org/officeDocument/2006/relationships/hyperlink" Target="mailto:sabeth.chevalier@free.fr" TargetMode="External"/><Relationship Id="rId58" Type="http://schemas.openxmlformats.org/officeDocument/2006/relationships/hyperlink" Target="mailto:hms-lill@web.de" TargetMode="External"/><Relationship Id="rId79" Type="http://schemas.openxmlformats.org/officeDocument/2006/relationships/hyperlink" Target="mailto:norbert.beckers05@gmail.com" TargetMode="External"/><Relationship Id="rId102" Type="http://schemas.openxmlformats.org/officeDocument/2006/relationships/hyperlink" Target="mailto:France_ewen@hotmail.com" TargetMode="External"/><Relationship Id="rId123" Type="http://schemas.openxmlformats.org/officeDocument/2006/relationships/hyperlink" Target="mailto:sandra.erbacher@t-online.de" TargetMode="External"/><Relationship Id="rId144" Type="http://schemas.openxmlformats.org/officeDocument/2006/relationships/hyperlink" Target="mailto:sheidenreich@gmx.net" TargetMode="External"/><Relationship Id="rId90" Type="http://schemas.openxmlformats.org/officeDocument/2006/relationships/hyperlink" Target="mailto:mathias.rackisch@googlemail.com" TargetMode="External"/><Relationship Id="rId27" Type="http://schemas.openxmlformats.org/officeDocument/2006/relationships/hyperlink" Target="mailto:r.buttweiler@osteopathie-pfalz.de" TargetMode="External"/><Relationship Id="rId48" Type="http://schemas.openxmlformats.org/officeDocument/2006/relationships/hyperlink" Target="mailto:bsg01@aol.com" TargetMode="External"/><Relationship Id="rId69" Type="http://schemas.openxmlformats.org/officeDocument/2006/relationships/hyperlink" Target="mailto:lena_bodammer@web.de" TargetMode="External"/><Relationship Id="rId113" Type="http://schemas.openxmlformats.org/officeDocument/2006/relationships/hyperlink" Target="mailto:nicole.walter@tierarzt-kirkel.de" TargetMode="External"/><Relationship Id="rId134" Type="http://schemas.openxmlformats.org/officeDocument/2006/relationships/hyperlink" Target="mailto:juliane.dold@gmx.de" TargetMode="Externa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1.xml.rels><?xml version="1.0" encoding="UTF-8" standalone="yes"?>
<Relationships xmlns="http://schemas.openxmlformats.org/package/2006/relationships"><Relationship Id="rId26" Type="http://schemas.openxmlformats.org/officeDocument/2006/relationships/hyperlink" Target="mailto:ebschmitter@bluewin.ch" TargetMode="External"/><Relationship Id="rId117" Type="http://schemas.openxmlformats.org/officeDocument/2006/relationships/hyperlink" Target="mailto:i.slavicek@t-online.de" TargetMode="External"/><Relationship Id="rId21" Type="http://schemas.openxmlformats.org/officeDocument/2006/relationships/hyperlink" Target="mailto:Fabrice.FLAMME@spw.wallonie.be" TargetMode="External"/><Relationship Id="rId42" Type="http://schemas.openxmlformats.org/officeDocument/2006/relationships/hyperlink" Target="mailto:mascha@blatow.de" TargetMode="External"/><Relationship Id="rId47" Type="http://schemas.openxmlformats.org/officeDocument/2006/relationships/hyperlink" Target="mailto:sebastien.cornu@bluewin.ch" TargetMode="External"/><Relationship Id="rId63" Type="http://schemas.openxmlformats.org/officeDocument/2006/relationships/hyperlink" Target="mailto:christina.gerberding@t-online.de" TargetMode="External"/><Relationship Id="rId68" Type="http://schemas.openxmlformats.org/officeDocument/2006/relationships/hyperlink" Target="mailto:markus.kandels@web.de" TargetMode="External"/><Relationship Id="rId84" Type="http://schemas.openxmlformats.org/officeDocument/2006/relationships/hyperlink" Target="mailto:antje.adenau@web.de" TargetMode="External"/><Relationship Id="rId89" Type="http://schemas.openxmlformats.org/officeDocument/2006/relationships/hyperlink" Target="mailto:nadja@schlup.net" TargetMode="External"/><Relationship Id="rId112" Type="http://schemas.openxmlformats.org/officeDocument/2006/relationships/hyperlink" Target="mailto:info@g-schlatter.ch" TargetMode="External"/><Relationship Id="rId16" Type="http://schemas.openxmlformats.org/officeDocument/2006/relationships/hyperlink" Target="mailto:davidb39@hotmail.fr" TargetMode="External"/><Relationship Id="rId107" Type="http://schemas.openxmlformats.org/officeDocument/2006/relationships/hyperlink" Target="mailto:elke@betten-hausen.de" TargetMode="External"/><Relationship Id="rId11" Type="http://schemas.openxmlformats.org/officeDocument/2006/relationships/hyperlink" Target="mailto:marchal@woddfashion.com" TargetMode="External"/><Relationship Id="rId32" Type="http://schemas.openxmlformats.org/officeDocument/2006/relationships/hyperlink" Target="mailto:gaelle7801@live.fr" TargetMode="External"/><Relationship Id="rId37" Type="http://schemas.openxmlformats.org/officeDocument/2006/relationships/hyperlink" Target="mailto:rodriguenavlet@hotmail.com" TargetMode="External"/><Relationship Id="rId53" Type="http://schemas.openxmlformats.org/officeDocument/2006/relationships/hyperlink" Target="mailto:pn44905@GlaxoWellcome.co.uk" TargetMode="External"/><Relationship Id="rId58" Type="http://schemas.openxmlformats.org/officeDocument/2006/relationships/hyperlink" Target="mailto:reinhardt@osw-eschbach.de" TargetMode="External"/><Relationship Id="rId74" Type="http://schemas.openxmlformats.org/officeDocument/2006/relationships/hyperlink" Target="mailto:guenterkrauch@web.de" TargetMode="External"/><Relationship Id="rId79" Type="http://schemas.openxmlformats.org/officeDocument/2006/relationships/hyperlink" Target="mailto:kerri1409@googlemail.com" TargetMode="External"/><Relationship Id="rId102" Type="http://schemas.openxmlformats.org/officeDocument/2006/relationships/hyperlink" Target="mailto:stephan.kobel@swissonline.ch" TargetMode="External"/><Relationship Id="rId5" Type="http://schemas.openxmlformats.org/officeDocument/2006/relationships/hyperlink" Target="mailto:peggy.wolsfeld@education.lu" TargetMode="External"/><Relationship Id="rId90" Type="http://schemas.openxmlformats.org/officeDocument/2006/relationships/hyperlink" Target="mailto:c.urban@hamburg.de" TargetMode="External"/><Relationship Id="rId95" Type="http://schemas.openxmlformats.org/officeDocument/2006/relationships/hyperlink" Target="mailto:silvio_kell@yahoo.de" TargetMode="External"/><Relationship Id="rId22" Type="http://schemas.openxmlformats.org/officeDocument/2006/relationships/hyperlink" Target="mailto:helene.losfelt@dbmail.com" TargetMode="External"/><Relationship Id="rId27" Type="http://schemas.openxmlformats.org/officeDocument/2006/relationships/hyperlink" Target="mailto:ghieronimus@live.fr" TargetMode="External"/><Relationship Id="rId43" Type="http://schemas.openxmlformats.org/officeDocument/2006/relationships/hyperlink" Target="mailto:pepin@ensea.fr" TargetMode="External"/><Relationship Id="rId48" Type="http://schemas.openxmlformats.org/officeDocument/2006/relationships/hyperlink" Target="mailto:gerdenis@wanadoo.fr" TargetMode="External"/><Relationship Id="rId64" Type="http://schemas.openxmlformats.org/officeDocument/2006/relationships/hyperlink" Target="mailto:janine@felix-weber.com" TargetMode="External"/><Relationship Id="rId69" Type="http://schemas.openxmlformats.org/officeDocument/2006/relationships/hyperlink" Target="mailto:peter.seuss@googlemail.com" TargetMode="External"/><Relationship Id="rId113" Type="http://schemas.openxmlformats.org/officeDocument/2006/relationships/hyperlink" Target="mailto:birgittdoll@aol.com" TargetMode="External"/><Relationship Id="rId118" Type="http://schemas.openxmlformats.org/officeDocument/2006/relationships/hyperlink" Target="mailto:sbrech.180904@guest.booking.com" TargetMode="External"/><Relationship Id="rId80" Type="http://schemas.openxmlformats.org/officeDocument/2006/relationships/hyperlink" Target="mailto:eifelinfo@t-online.de" TargetMode="External"/><Relationship Id="rId85" Type="http://schemas.openxmlformats.org/officeDocument/2006/relationships/hyperlink" Target="mailto:dres.sander@web.de" TargetMode="External"/><Relationship Id="rId12" Type="http://schemas.openxmlformats.org/officeDocument/2006/relationships/hyperlink" Target="mailto:spajean@wanadoo.fr" TargetMode="External"/><Relationship Id="rId17" Type="http://schemas.openxmlformats.org/officeDocument/2006/relationships/hyperlink" Target="mailto:hans.janse@hetnet.nl" TargetMode="External"/><Relationship Id="rId33" Type="http://schemas.openxmlformats.org/officeDocument/2006/relationships/hyperlink" Target="mailto:emitom@datacomm.ch" TargetMode="External"/><Relationship Id="rId38" Type="http://schemas.openxmlformats.org/officeDocument/2006/relationships/hyperlink" Target="mailto:hula1@intergga.ch" TargetMode="External"/><Relationship Id="rId59" Type="http://schemas.openxmlformats.org/officeDocument/2006/relationships/hyperlink" Target="mailto:wallnergmbh@t-online.de" TargetMode="External"/><Relationship Id="rId103" Type="http://schemas.openxmlformats.org/officeDocument/2006/relationships/hyperlink" Target="mailto:paloma13@gmx.de" TargetMode="External"/><Relationship Id="rId108" Type="http://schemas.openxmlformats.org/officeDocument/2006/relationships/hyperlink" Target="mailto:n.mueller@radio-homburg.de" TargetMode="External"/><Relationship Id="rId54" Type="http://schemas.openxmlformats.org/officeDocument/2006/relationships/hyperlink" Target="mailto:pierre.chalard@univ-bpclermont.fr" TargetMode="External"/><Relationship Id="rId70" Type="http://schemas.openxmlformats.org/officeDocument/2006/relationships/hyperlink" Target="mailto:heimuehle@t-online.de" TargetMode="External"/><Relationship Id="rId75" Type="http://schemas.openxmlformats.org/officeDocument/2006/relationships/hyperlink" Target="mailto:andreas.grimm2@web.de" TargetMode="External"/><Relationship Id="rId91" Type="http://schemas.openxmlformats.org/officeDocument/2006/relationships/hyperlink" Target="mailto:sonja.siekkoetter@ewetel.net" TargetMode="External"/><Relationship Id="rId96" Type="http://schemas.openxmlformats.org/officeDocument/2006/relationships/hyperlink" Target="mailto:kuppler2@t-online.de" TargetMode="External"/><Relationship Id="rId1" Type="http://schemas.openxmlformats.org/officeDocument/2006/relationships/hyperlink" Target="mailto:nikolerdc@wanadoo.fr" TargetMode="External"/><Relationship Id="rId6" Type="http://schemas.openxmlformats.org/officeDocument/2006/relationships/hyperlink" Target="mailto:nathalie.bourson@education.lu" TargetMode="External"/><Relationship Id="rId23" Type="http://schemas.openxmlformats.org/officeDocument/2006/relationships/hyperlink" Target="mailto:ed@ip-worldcom.ch" TargetMode="External"/><Relationship Id="rId28" Type="http://schemas.openxmlformats.org/officeDocument/2006/relationships/hyperlink" Target="mailto:gabriele.steinhauer@swissonline.ch" TargetMode="External"/><Relationship Id="rId49" Type="http://schemas.openxmlformats.org/officeDocument/2006/relationships/hyperlink" Target="mailto:amillet7@wanadoo.fr" TargetMode="External"/><Relationship Id="rId114" Type="http://schemas.openxmlformats.org/officeDocument/2006/relationships/hyperlink" Target="mailto:ratilgner@aol.com" TargetMode="External"/><Relationship Id="rId119" Type="http://schemas.openxmlformats.org/officeDocument/2006/relationships/hyperlink" Target="mailto:tina.albrecht712@gmail.com" TargetMode="External"/><Relationship Id="rId10" Type="http://schemas.openxmlformats.org/officeDocument/2006/relationships/hyperlink" Target="mailto:peter.binz@gmx.de" TargetMode="External"/><Relationship Id="rId31" Type="http://schemas.openxmlformats.org/officeDocument/2006/relationships/hyperlink" Target="mailto:christiane.schmitzberger@numericable.fr" TargetMode="External"/><Relationship Id="rId44" Type="http://schemas.openxmlformats.org/officeDocument/2006/relationships/hyperlink" Target="mailto:Tibor.Gyalog@unibas.ch" TargetMode="External"/><Relationship Id="rId52" Type="http://schemas.openxmlformats.org/officeDocument/2006/relationships/hyperlink" Target="mailto:adl.fontaine@brutele.be" TargetMode="External"/><Relationship Id="rId60" Type="http://schemas.openxmlformats.org/officeDocument/2006/relationships/hyperlink" Target="mailto:BeateSchweitzer@hotmail.com" TargetMode="External"/><Relationship Id="rId65" Type="http://schemas.openxmlformats.org/officeDocument/2006/relationships/hyperlink" Target="mailto:sabine.lenk@mri-online.de" TargetMode="External"/><Relationship Id="rId73" Type="http://schemas.openxmlformats.org/officeDocument/2006/relationships/hyperlink" Target="mailto:biggil@hotmail.de" TargetMode="External"/><Relationship Id="rId78" Type="http://schemas.openxmlformats.org/officeDocument/2006/relationships/hyperlink" Target="mailto:tilo@gmx.de" TargetMode="External"/><Relationship Id="rId81" Type="http://schemas.openxmlformats.org/officeDocument/2006/relationships/hyperlink" Target="mailto:ingrid.hanisch@freenet.de" TargetMode="External"/><Relationship Id="rId86" Type="http://schemas.openxmlformats.org/officeDocument/2006/relationships/hyperlink" Target="mailto:praestk@aol.com" TargetMode="External"/><Relationship Id="rId94" Type="http://schemas.openxmlformats.org/officeDocument/2006/relationships/hyperlink" Target="mailto:tf.thomasfranke@t-online.de" TargetMode="External"/><Relationship Id="rId99" Type="http://schemas.openxmlformats.org/officeDocument/2006/relationships/hyperlink" Target="mailto:N.koeninger@web.de" TargetMode="External"/><Relationship Id="rId101" Type="http://schemas.openxmlformats.org/officeDocument/2006/relationships/hyperlink" Target="mailto:martindoherr@gmail.com" TargetMode="External"/><Relationship Id="rId4" Type="http://schemas.openxmlformats.org/officeDocument/2006/relationships/hyperlink" Target="mailto:odilecarlier@orange.fr" TargetMode="External"/><Relationship Id="rId9" Type="http://schemas.openxmlformats.org/officeDocument/2006/relationships/hyperlink" Target="mailto:sylvie.vla@live.com" TargetMode="External"/><Relationship Id="rId13" Type="http://schemas.openxmlformats.org/officeDocument/2006/relationships/hyperlink" Target="mailto:cprevost74@yahoo.fr" TargetMode="External"/><Relationship Id="rId18" Type="http://schemas.openxmlformats.org/officeDocument/2006/relationships/hyperlink" Target="mailto:larmadio@wanadoo.fr" TargetMode="External"/><Relationship Id="rId39" Type="http://schemas.openxmlformats.org/officeDocument/2006/relationships/hyperlink" Target="mailto:ascholte@pt.lu" TargetMode="External"/><Relationship Id="rId109" Type="http://schemas.openxmlformats.org/officeDocument/2006/relationships/hyperlink" Target="mailto:joerg.gottwald@hotmail.de" TargetMode="External"/><Relationship Id="rId34" Type="http://schemas.openxmlformats.org/officeDocument/2006/relationships/hyperlink" Target="mailto:mruethy@bluewin.ch" TargetMode="External"/><Relationship Id="rId50" Type="http://schemas.openxmlformats.org/officeDocument/2006/relationships/hyperlink" Target="mailto:marc.dewasme@wanadoo.fr" TargetMode="External"/><Relationship Id="rId55" Type="http://schemas.openxmlformats.org/officeDocument/2006/relationships/hyperlink" Target="mailto:duchenenicola@yahoo.fr" TargetMode="External"/><Relationship Id="rId76" Type="http://schemas.openxmlformats.org/officeDocument/2006/relationships/hyperlink" Target="mailto:m.sander@elektrobartels.de" TargetMode="External"/><Relationship Id="rId97" Type="http://schemas.openxmlformats.org/officeDocument/2006/relationships/hyperlink" Target="mailto:sandra@erhart.ch" TargetMode="External"/><Relationship Id="rId104" Type="http://schemas.openxmlformats.org/officeDocument/2006/relationships/hyperlink" Target="mailto:rainer.wittemann@hotmail.de" TargetMode="External"/><Relationship Id="rId120" Type="http://schemas.openxmlformats.org/officeDocument/2006/relationships/printerSettings" Target="../printerSettings/printerSettings15.bin"/><Relationship Id="rId7" Type="http://schemas.openxmlformats.org/officeDocument/2006/relationships/hyperlink" Target="mailto:christele.mace@numericable.fr" TargetMode="External"/><Relationship Id="rId71" Type="http://schemas.openxmlformats.org/officeDocument/2006/relationships/hyperlink" Target="mailto:bettina.ri@t-online.de" TargetMode="External"/><Relationship Id="rId92" Type="http://schemas.openxmlformats.org/officeDocument/2006/relationships/hyperlink" Target="mailto:kubatchek@arcor.de" TargetMode="External"/><Relationship Id="rId2" Type="http://schemas.openxmlformats.org/officeDocument/2006/relationships/hyperlink" Target="mailto:herveplateau1@gmail.com" TargetMode="External"/><Relationship Id="rId29" Type="http://schemas.openxmlformats.org/officeDocument/2006/relationships/hyperlink" Target="mailto:ap.bachelet@aliceadsl.fr" TargetMode="External"/><Relationship Id="rId24" Type="http://schemas.openxmlformats.org/officeDocument/2006/relationships/hyperlink" Target="mailto:kiki.tipunch@wanadoo.fr" TargetMode="External"/><Relationship Id="rId40" Type="http://schemas.openxmlformats.org/officeDocument/2006/relationships/hyperlink" Target="mailto:wunderhorn@t-online.de" TargetMode="External"/><Relationship Id="rId45" Type="http://schemas.openxmlformats.org/officeDocument/2006/relationships/hyperlink" Target="mailto:coccinelle60@gmail.com" TargetMode="External"/><Relationship Id="rId66" Type="http://schemas.openxmlformats.org/officeDocument/2006/relationships/hyperlink" Target="mailto:cboedecker@arcor.de" TargetMode="External"/><Relationship Id="rId87" Type="http://schemas.openxmlformats.org/officeDocument/2006/relationships/hyperlink" Target="mailto:niegengerd@hotmail.com" TargetMode="External"/><Relationship Id="rId110" Type="http://schemas.openxmlformats.org/officeDocument/2006/relationships/hyperlink" Target="mailto:x-oph@gmx.net" TargetMode="External"/><Relationship Id="rId115" Type="http://schemas.openxmlformats.org/officeDocument/2006/relationships/hyperlink" Target="mailto:christoph.jaedicke@gmx.de" TargetMode="External"/><Relationship Id="rId61" Type="http://schemas.openxmlformats.org/officeDocument/2006/relationships/hyperlink" Target="mailto:b.meyer-lueters@videx.de" TargetMode="External"/><Relationship Id="rId82" Type="http://schemas.openxmlformats.org/officeDocument/2006/relationships/hyperlink" Target="mailto:tmuellerteufel@email.de" TargetMode="External"/><Relationship Id="rId19" Type="http://schemas.openxmlformats.org/officeDocument/2006/relationships/hyperlink" Target="mailto:s-demaret@wanadoo.fr" TargetMode="External"/><Relationship Id="rId14" Type="http://schemas.openxmlformats.org/officeDocument/2006/relationships/hyperlink" Target="mailto:evanlierde@coldsetprintingpartners.be" TargetMode="External"/><Relationship Id="rId30" Type="http://schemas.openxmlformats.org/officeDocument/2006/relationships/hyperlink" Target="mailto:movet.jean-pierre@neuf.fr" TargetMode="External"/><Relationship Id="rId35" Type="http://schemas.openxmlformats.org/officeDocument/2006/relationships/hyperlink" Target="mailto:joerg.parzl@mellinundmellin.de" TargetMode="External"/><Relationship Id="rId56" Type="http://schemas.openxmlformats.org/officeDocument/2006/relationships/hyperlink" Target="mailto:dinouardnadie@hotmail.fr" TargetMode="External"/><Relationship Id="rId77" Type="http://schemas.openxmlformats.org/officeDocument/2006/relationships/hyperlink" Target="mailto:nadine.schuler@uniklinikum-saarland.de" TargetMode="External"/><Relationship Id="rId100" Type="http://schemas.openxmlformats.org/officeDocument/2006/relationships/hyperlink" Target="mailto:Kinderhaus-Hauptmann@web.de" TargetMode="External"/><Relationship Id="rId105" Type="http://schemas.openxmlformats.org/officeDocument/2006/relationships/hyperlink" Target="mailto:cbtkw@email.de" TargetMode="External"/><Relationship Id="rId8" Type="http://schemas.openxmlformats.org/officeDocument/2006/relationships/hyperlink" Target="mailto:rolland.josee@gmail.com" TargetMode="External"/><Relationship Id="rId51" Type="http://schemas.openxmlformats.org/officeDocument/2006/relationships/hyperlink" Target="mailto:nanton@pt.lu" TargetMode="External"/><Relationship Id="rId72" Type="http://schemas.openxmlformats.org/officeDocument/2006/relationships/hyperlink" Target="mailto:mp-preiss@googlemail.com" TargetMode="External"/><Relationship Id="rId93" Type="http://schemas.openxmlformats.org/officeDocument/2006/relationships/hyperlink" Target="mailto:lindner1984@yahoo.de" TargetMode="External"/><Relationship Id="rId98" Type="http://schemas.openxmlformats.org/officeDocument/2006/relationships/hyperlink" Target="mailto:axelschreiter@yahoo.de" TargetMode="External"/><Relationship Id="rId3" Type="http://schemas.openxmlformats.org/officeDocument/2006/relationships/hyperlink" Target="mailto:ericparage@free.fr" TargetMode="External"/><Relationship Id="rId25" Type="http://schemas.openxmlformats.org/officeDocument/2006/relationships/hyperlink" Target="mailto:minaluni@yahoo.de" TargetMode="External"/><Relationship Id="rId46" Type="http://schemas.openxmlformats.org/officeDocument/2006/relationships/hyperlink" Target="mailto:denis.minel@laposte.net" TargetMode="External"/><Relationship Id="rId67" Type="http://schemas.openxmlformats.org/officeDocument/2006/relationships/hyperlink" Target="mailto:jutta.holnburger@gmx.de" TargetMode="External"/><Relationship Id="rId116" Type="http://schemas.openxmlformats.org/officeDocument/2006/relationships/hyperlink" Target="mailto:sandra@rudelwohl-zach.de" TargetMode="External"/><Relationship Id="rId20" Type="http://schemas.openxmlformats.org/officeDocument/2006/relationships/hyperlink" Target="mailto:dede7@pt.lu" TargetMode="External"/><Relationship Id="rId41" Type="http://schemas.openxmlformats.org/officeDocument/2006/relationships/hyperlink" Target="mailto:mic.ti@orange.fr" TargetMode="External"/><Relationship Id="rId62" Type="http://schemas.openxmlformats.org/officeDocument/2006/relationships/hyperlink" Target="mailto:mangold.lth@arcor.de" TargetMode="External"/><Relationship Id="rId83" Type="http://schemas.openxmlformats.org/officeDocument/2006/relationships/hyperlink" Target="mailto:christiansen@bk-erkelenz.de" TargetMode="External"/><Relationship Id="rId88" Type="http://schemas.openxmlformats.org/officeDocument/2006/relationships/hyperlink" Target="mailto:ruth@rademacher-suess.de" TargetMode="External"/><Relationship Id="rId111" Type="http://schemas.openxmlformats.org/officeDocument/2006/relationships/hyperlink" Target="mailto:c.nickaes-ley@gmx.de" TargetMode="External"/><Relationship Id="rId15" Type="http://schemas.openxmlformats.org/officeDocument/2006/relationships/hyperlink" Target="mailto:GrangerM@bsci.com" TargetMode="External"/><Relationship Id="rId36" Type="http://schemas.openxmlformats.org/officeDocument/2006/relationships/hyperlink" Target="mailto:m.moussie@numericable.com" TargetMode="External"/><Relationship Id="rId57" Type="http://schemas.openxmlformats.org/officeDocument/2006/relationships/hyperlink" Target="mailto:diane.dupont@ml.etat.lu" TargetMode="External"/><Relationship Id="rId106" Type="http://schemas.openxmlformats.org/officeDocument/2006/relationships/hyperlink" Target="mailto:astrigl@gmx.de" TargetMode="External"/></Relationships>
</file>

<file path=xl/worksheets/_rels/sheet32.xml.rels><?xml version="1.0" encoding="UTF-8" standalone="yes"?>
<Relationships xmlns="http://schemas.openxmlformats.org/package/2006/relationships"><Relationship Id="rId117" Type="http://schemas.openxmlformats.org/officeDocument/2006/relationships/hyperlink" Target="mailto:biggi.hess@t-online.de" TargetMode="External"/><Relationship Id="rId21" Type="http://schemas.openxmlformats.org/officeDocument/2006/relationships/hyperlink" Target="mailto:kieksi77@yahoo.de?subject=Ihre%20Anfrage%20&#252;ber%20hunde-urlaub.net" TargetMode="External"/><Relationship Id="rId42" Type="http://schemas.openxmlformats.org/officeDocument/2006/relationships/hyperlink" Target="mailto:u.lawrenz@gmx.de?subject=Ihre%20Anfrage%20&#252;ber%20hunde-urlaub.net" TargetMode="External"/><Relationship Id="rId63" Type="http://schemas.openxmlformats.org/officeDocument/2006/relationships/hyperlink" Target="mailto:kerstin@barcelona4u.com" TargetMode="External"/><Relationship Id="rId84" Type="http://schemas.openxmlformats.org/officeDocument/2006/relationships/hyperlink" Target="mailto:monika.puhe@gmx.de" TargetMode="External"/><Relationship Id="rId138" Type="http://schemas.openxmlformats.org/officeDocument/2006/relationships/hyperlink" Target="mailto:Arne.Kirchner@ahag-bochum.de" TargetMode="External"/><Relationship Id="rId159" Type="http://schemas.openxmlformats.org/officeDocument/2006/relationships/hyperlink" Target="mailto:stef-heinrich@web.de" TargetMode="External"/><Relationship Id="rId107" Type="http://schemas.openxmlformats.org/officeDocument/2006/relationships/hyperlink" Target="mailto:s.gieseud.hartung@t-online.de" TargetMode="External"/><Relationship Id="rId11" Type="http://schemas.openxmlformats.org/officeDocument/2006/relationships/hyperlink" Target="mailto:brittab6@gmail.com?subject=Ihre%20Anfrage%20&#252;ber%20hunde-urlaub.net" TargetMode="External"/><Relationship Id="rId32" Type="http://schemas.openxmlformats.org/officeDocument/2006/relationships/hyperlink" Target="mailto:breel1401@web.de?subject=Ihre%20Anfrage%20&#252;ber%20hunde-urlaub.net" TargetMode="External"/><Relationship Id="rId53" Type="http://schemas.openxmlformats.org/officeDocument/2006/relationships/hyperlink" Target="mailto:Kati01111980@gmx.de" TargetMode="External"/><Relationship Id="rId74" Type="http://schemas.openxmlformats.org/officeDocument/2006/relationships/hyperlink" Target="mailto:rakato-arndt@t-online.de" TargetMode="External"/><Relationship Id="rId128" Type="http://schemas.openxmlformats.org/officeDocument/2006/relationships/hyperlink" Target="mailto:tonygalli@gmx.de" TargetMode="External"/><Relationship Id="rId149" Type="http://schemas.openxmlformats.org/officeDocument/2006/relationships/hyperlink" Target="mailto:gabiundriva@t-online.de" TargetMode="External"/><Relationship Id="rId5" Type="http://schemas.openxmlformats.org/officeDocument/2006/relationships/hyperlink" Target="mailto:mechthild-neumueller@web.de?subject=Ihre%20Anfrage%20&#252;ber%20hunde-urlaub.net" TargetMode="External"/><Relationship Id="rId95" Type="http://schemas.openxmlformats.org/officeDocument/2006/relationships/hyperlink" Target="mailto:Schmid.220575@web.de" TargetMode="External"/><Relationship Id="rId160" Type="http://schemas.openxmlformats.org/officeDocument/2006/relationships/hyperlink" Target="mailto:m.inhafer@live.de" TargetMode="External"/><Relationship Id="rId22" Type="http://schemas.openxmlformats.org/officeDocument/2006/relationships/hyperlink" Target="mailto:bgm@scheibbs.gv.at?subject=Ihre%20Anfrage%20&#252;ber%20hunde-urlaub.net" TargetMode="External"/><Relationship Id="rId43" Type="http://schemas.openxmlformats.org/officeDocument/2006/relationships/hyperlink" Target="mailto:filjanele@googlemail.com?subject=Ihre%20Anfrage%20&#252;ber%20hunde-urlaub.net" TargetMode="External"/><Relationship Id="rId64" Type="http://schemas.openxmlformats.org/officeDocument/2006/relationships/hyperlink" Target="mailto:kolodziej@live.at" TargetMode="External"/><Relationship Id="rId118" Type="http://schemas.openxmlformats.org/officeDocument/2006/relationships/hyperlink" Target="mailto:sabinec@arcor.de" TargetMode="External"/><Relationship Id="rId139" Type="http://schemas.openxmlformats.org/officeDocument/2006/relationships/hyperlink" Target="mailto:monika-herzig@bluewin.ch" TargetMode="External"/><Relationship Id="rId85" Type="http://schemas.openxmlformats.org/officeDocument/2006/relationships/hyperlink" Target="mailto:steffi2109@googlemail.com" TargetMode="External"/><Relationship Id="rId150" Type="http://schemas.openxmlformats.org/officeDocument/2006/relationships/hyperlink" Target="mailto:fanuto@t-online.de" TargetMode="External"/><Relationship Id="rId12" Type="http://schemas.openxmlformats.org/officeDocument/2006/relationships/hyperlink" Target="mailto:Arancha1209@aol.com?subject=Ihre%20Anfrage%20&#252;ber%20hunde-urlaub.net" TargetMode="External"/><Relationship Id="rId17" Type="http://schemas.openxmlformats.org/officeDocument/2006/relationships/hyperlink" Target="mailto:dauphintania@me.com?subject=Ihre%20Anfrage%20&#252;ber%20hunde-urlaub.net" TargetMode="External"/><Relationship Id="rId33" Type="http://schemas.openxmlformats.org/officeDocument/2006/relationships/hyperlink" Target="mailto:alexandra.unz@gmx.de?subject=Ihre%20Anfrage%20&#252;ber%20hunde-urlaub.net" TargetMode="External"/><Relationship Id="rId38" Type="http://schemas.openxmlformats.org/officeDocument/2006/relationships/hyperlink" Target="mailto:B.Winter15@googlemail.com?subject=Ihre%20Anfrage%20&#252;ber%20hunde-urlaub.net" TargetMode="External"/><Relationship Id="rId59" Type="http://schemas.openxmlformats.org/officeDocument/2006/relationships/hyperlink" Target="mailto:rbodenhausen@gmx.de" TargetMode="External"/><Relationship Id="rId103" Type="http://schemas.openxmlformats.org/officeDocument/2006/relationships/hyperlink" Target="mailto:sabine.vutirakis@yahoo.com" TargetMode="External"/><Relationship Id="rId108" Type="http://schemas.openxmlformats.org/officeDocument/2006/relationships/hyperlink" Target="mailto:ingo@naturheilpraxis-rasch.de" TargetMode="External"/><Relationship Id="rId124" Type="http://schemas.openxmlformats.org/officeDocument/2006/relationships/hyperlink" Target="mailto:brenntano88@gmail.com" TargetMode="External"/><Relationship Id="rId129" Type="http://schemas.openxmlformats.org/officeDocument/2006/relationships/hyperlink" Target="mailto:doro.mertin@gmx.de" TargetMode="External"/><Relationship Id="rId54" Type="http://schemas.openxmlformats.org/officeDocument/2006/relationships/hyperlink" Target="mailto:rcln-bauer@t-online.de" TargetMode="External"/><Relationship Id="rId70" Type="http://schemas.openxmlformats.org/officeDocument/2006/relationships/hyperlink" Target="mailto:ana.pais@online.de" TargetMode="External"/><Relationship Id="rId75" Type="http://schemas.openxmlformats.org/officeDocument/2006/relationships/hyperlink" Target="mailto:katjamr@posteo.de" TargetMode="External"/><Relationship Id="rId91" Type="http://schemas.openxmlformats.org/officeDocument/2006/relationships/hyperlink" Target="mailto:kiki@istanders.de" TargetMode="External"/><Relationship Id="rId96" Type="http://schemas.openxmlformats.org/officeDocument/2006/relationships/hyperlink" Target="mailto:d.luwald@web.de" TargetMode="External"/><Relationship Id="rId140" Type="http://schemas.openxmlformats.org/officeDocument/2006/relationships/hyperlink" Target="mailto:sandra.thillmann@gmail.com" TargetMode="External"/><Relationship Id="rId145" Type="http://schemas.openxmlformats.org/officeDocument/2006/relationships/hyperlink" Target="mailto:robinschmidtke@gmx.de" TargetMode="External"/><Relationship Id="rId161" Type="http://schemas.openxmlformats.org/officeDocument/2006/relationships/hyperlink" Target="mailto:mail@birgithoffmann.com" TargetMode="External"/><Relationship Id="rId1" Type="http://schemas.openxmlformats.org/officeDocument/2006/relationships/hyperlink" Target="mailto:Marinahoffmann82@aol.com?subject=Ihre%20Anfrage%20auf%20hunde-urlaub.net" TargetMode="External"/><Relationship Id="rId6" Type="http://schemas.openxmlformats.org/officeDocument/2006/relationships/hyperlink" Target="mailto:funandjoy83@googlemail.com?subject=Ihre%20Anfrage%20&#252;ber%20hunde-urlaub.net" TargetMode="External"/><Relationship Id="rId23" Type="http://schemas.openxmlformats.org/officeDocument/2006/relationships/hyperlink" Target="mailto:Monrade@aol.com?subject=Ihre%20Anfrage%20&#252;ber%20hunde-urlaub.net" TargetMode="External"/><Relationship Id="rId28" Type="http://schemas.openxmlformats.org/officeDocument/2006/relationships/hyperlink" Target="mailto:info@guellergravuren.ch?subject=Ihre%20Anfrage%20&#252;ber%20hunde-urlaub.net" TargetMode="External"/><Relationship Id="rId49" Type="http://schemas.openxmlformats.org/officeDocument/2006/relationships/hyperlink" Target="mailto:xexaxa@gmx.net?subject=Ihre%20Anfrage%20&#252;ber%20hunde-urlaub.net" TargetMode="External"/><Relationship Id="rId114" Type="http://schemas.openxmlformats.org/officeDocument/2006/relationships/hyperlink" Target="mailto:marion.koenig@holzbau-trier.com" TargetMode="External"/><Relationship Id="rId119" Type="http://schemas.openxmlformats.org/officeDocument/2006/relationships/hyperlink" Target="mailto:anjakuehn1981@live.de" TargetMode="External"/><Relationship Id="rId44" Type="http://schemas.openxmlformats.org/officeDocument/2006/relationships/hyperlink" Target="mailto:regula.bauriedl@gmx.ch?subject=Ihre%20Anfrage%20&#252;ber%20hunde-urlaub.net" TargetMode="External"/><Relationship Id="rId60" Type="http://schemas.openxmlformats.org/officeDocument/2006/relationships/hyperlink" Target="mailto:urlauber2018@gmx.de" TargetMode="External"/><Relationship Id="rId65" Type="http://schemas.openxmlformats.org/officeDocument/2006/relationships/hyperlink" Target="mailto:carola.klaiber@gmail.com" TargetMode="External"/><Relationship Id="rId81" Type="http://schemas.openxmlformats.org/officeDocument/2006/relationships/hyperlink" Target="mailto:hillemacher@t-online.de" TargetMode="External"/><Relationship Id="rId86" Type="http://schemas.openxmlformats.org/officeDocument/2006/relationships/hyperlink" Target="mailto:melaniefolta@gmx.de" TargetMode="External"/><Relationship Id="rId130" Type="http://schemas.openxmlformats.org/officeDocument/2006/relationships/hyperlink" Target="mailto:bonny10878@gmx.de" TargetMode="External"/><Relationship Id="rId135" Type="http://schemas.openxmlformats.org/officeDocument/2006/relationships/hyperlink" Target="mailto:m.schulli@web.de" TargetMode="External"/><Relationship Id="rId151" Type="http://schemas.openxmlformats.org/officeDocument/2006/relationships/hyperlink" Target="mailto:info@dogschool.de" TargetMode="External"/><Relationship Id="rId156" Type="http://schemas.openxmlformats.org/officeDocument/2006/relationships/hyperlink" Target="mailto:uli_walzik@hotmail.de" TargetMode="External"/><Relationship Id="rId13" Type="http://schemas.openxmlformats.org/officeDocument/2006/relationships/hyperlink" Target="mailto:mail@katharinaklimza.de?subject=Ihre%20Anfrage%20&#252;ber%20hunde-urlaub.net" TargetMode="External"/><Relationship Id="rId18" Type="http://schemas.openxmlformats.org/officeDocument/2006/relationships/hyperlink" Target="mailto:Nadja.kathrin.engel@icloud.com?subject=Ihre%20Anfrage%20&#252;ber%20hunde-urlaub.net" TargetMode="External"/><Relationship Id="rId39" Type="http://schemas.openxmlformats.org/officeDocument/2006/relationships/hyperlink" Target="mailto:hein.silke@kabelmail.de?subject=Ihre%20Anfrage%20&#252;ber%20hunde-urlaub.net" TargetMode="External"/><Relationship Id="rId109" Type="http://schemas.openxmlformats.org/officeDocument/2006/relationships/hyperlink" Target="mailto:michaela.munsch@gmx.de" TargetMode="External"/><Relationship Id="rId34" Type="http://schemas.openxmlformats.org/officeDocument/2006/relationships/hyperlink" Target="mailto:s.niess3107@gmail.com?subject=Ihre%20Anfrage%20&#252;ber%20hunde-urlaub.net" TargetMode="External"/><Relationship Id="rId50" Type="http://schemas.openxmlformats.org/officeDocument/2006/relationships/hyperlink" Target="mailto:Brigitte.vw@bluewin.ch" TargetMode="External"/><Relationship Id="rId55" Type="http://schemas.openxmlformats.org/officeDocument/2006/relationships/hyperlink" Target="mailto:steffi.kruppa@arcor.de" TargetMode="External"/><Relationship Id="rId76" Type="http://schemas.openxmlformats.org/officeDocument/2006/relationships/hyperlink" Target="mailto:Dr.ulrike.deike@gmail.com" TargetMode="External"/><Relationship Id="rId97" Type="http://schemas.openxmlformats.org/officeDocument/2006/relationships/hyperlink" Target="mailto:kopp_nicole76@yahoo.de" TargetMode="External"/><Relationship Id="rId104" Type="http://schemas.openxmlformats.org/officeDocument/2006/relationships/hyperlink" Target="mailto:solmersitz@t-online.de" TargetMode="External"/><Relationship Id="rId120" Type="http://schemas.openxmlformats.org/officeDocument/2006/relationships/hyperlink" Target="mailto:saschafrank83@gmx.de" TargetMode="External"/><Relationship Id="rId125" Type="http://schemas.openxmlformats.org/officeDocument/2006/relationships/hyperlink" Target="mailto:Kirsten.Funck@web.de" TargetMode="External"/><Relationship Id="rId141" Type="http://schemas.openxmlformats.org/officeDocument/2006/relationships/hyperlink" Target="mailto:NikoWalter49@yahoo.de" TargetMode="External"/><Relationship Id="rId146" Type="http://schemas.openxmlformats.org/officeDocument/2006/relationships/hyperlink" Target="mailto:gruenewald.balu@t-online.de" TargetMode="External"/><Relationship Id="rId7" Type="http://schemas.openxmlformats.org/officeDocument/2006/relationships/hyperlink" Target="mailto:nadine.kretz@gmx.de?subject=Ihre%20Anfrage%20&#252;ber%20hunde-urlaub.net" TargetMode="External"/><Relationship Id="rId71" Type="http://schemas.openxmlformats.org/officeDocument/2006/relationships/hyperlink" Target="mailto:serkan.oezdal@allianz.de" TargetMode="External"/><Relationship Id="rId92" Type="http://schemas.openxmlformats.org/officeDocument/2006/relationships/hyperlink" Target="mailto:vera.hoebusch@t-online.de" TargetMode="External"/><Relationship Id="rId162" Type="http://schemas.openxmlformats.org/officeDocument/2006/relationships/hyperlink" Target="mailto:zobjackm@yahoo.de" TargetMode="External"/><Relationship Id="rId2" Type="http://schemas.openxmlformats.org/officeDocument/2006/relationships/hyperlink" Target="mailto:Martina881979@hotmail.de?subject=Ihre%20Anfrage%20auf%20hunde-urlaub.net" TargetMode="External"/><Relationship Id="rId29" Type="http://schemas.openxmlformats.org/officeDocument/2006/relationships/hyperlink" Target="mailto:dietmar_juergens@t-online.de?subject=Ihre%20Anfrage%20&#252;ber%20hunde-urlaub.net" TargetMode="External"/><Relationship Id="rId24" Type="http://schemas.openxmlformats.org/officeDocument/2006/relationships/hyperlink" Target="mailto:susannefandre@gmx.de?subject=Ihre%20Anfrage%20&#252;ber%20hunde-urlaub.net" TargetMode="External"/><Relationship Id="rId40" Type="http://schemas.openxmlformats.org/officeDocument/2006/relationships/hyperlink" Target="mailto:jgliga123@mailbox.com?subject=Ihre%20Anfrage%20&#252;ber%20hunde-urlaub.net" TargetMode="External"/><Relationship Id="rId45" Type="http://schemas.openxmlformats.org/officeDocument/2006/relationships/hyperlink" Target="mailto:j.blienert@kinderheilstaette.de?subject=Ihre%20Anfrage%20&#252;ber%20hunde-urlaub.net" TargetMode="External"/><Relationship Id="rId66" Type="http://schemas.openxmlformats.org/officeDocument/2006/relationships/hyperlink" Target="mailto:jacobpauline@web.de" TargetMode="External"/><Relationship Id="rId87" Type="http://schemas.openxmlformats.org/officeDocument/2006/relationships/hyperlink" Target="mailto:corneliameyerhoff@freenet.de" TargetMode="External"/><Relationship Id="rId110" Type="http://schemas.openxmlformats.org/officeDocument/2006/relationships/hyperlink" Target="mailto:dworschak-viktualienmarkt@t-online.de" TargetMode="External"/><Relationship Id="rId115" Type="http://schemas.openxmlformats.org/officeDocument/2006/relationships/hyperlink" Target="mailto:meindl12@t-online.de" TargetMode="External"/><Relationship Id="rId131" Type="http://schemas.openxmlformats.org/officeDocument/2006/relationships/hyperlink" Target="mailto:charlotte.pascoletti@gmail.com" TargetMode="External"/><Relationship Id="rId136" Type="http://schemas.openxmlformats.org/officeDocument/2006/relationships/hyperlink" Target="mailto:jochen.schmitt1974@gmail.com" TargetMode="External"/><Relationship Id="rId157" Type="http://schemas.openxmlformats.org/officeDocument/2006/relationships/hyperlink" Target="mailto:bruellheidi@gmx.net" TargetMode="External"/><Relationship Id="rId61" Type="http://schemas.openxmlformats.org/officeDocument/2006/relationships/hyperlink" Target="mailto:sweti@frankseemann.de" TargetMode="External"/><Relationship Id="rId82" Type="http://schemas.openxmlformats.org/officeDocument/2006/relationships/hyperlink" Target="mailto:regula456@gmail.com" TargetMode="External"/><Relationship Id="rId152" Type="http://schemas.openxmlformats.org/officeDocument/2006/relationships/hyperlink" Target="mailto:vivi-andy@gmx.de" TargetMode="External"/><Relationship Id="rId19" Type="http://schemas.openxmlformats.org/officeDocument/2006/relationships/hyperlink" Target="mailto:c.najda@t-online.de?subject=Ihre%20Anfrage%20&#252;ber%20hunde-urlaub.net" TargetMode="External"/><Relationship Id="rId14" Type="http://schemas.openxmlformats.org/officeDocument/2006/relationships/hyperlink" Target="mailto:Julia.dose@gmx.de?subject=Ihre%20Anfrage%20&#252;ber%20hunde-urlaub.net" TargetMode="External"/><Relationship Id="rId30" Type="http://schemas.openxmlformats.org/officeDocument/2006/relationships/hyperlink" Target="mailto:ch.weiler63@web.de?subject=Ihre%20Anfrage%20&#252;ber%20hunde-urlaub.net" TargetMode="External"/><Relationship Id="rId35" Type="http://schemas.openxmlformats.org/officeDocument/2006/relationships/hyperlink" Target="mailto:capitainha@t-online.de?subject=Ihre%20Anfrage%20&#252;ber%20hunde-urlaub.net" TargetMode="External"/><Relationship Id="rId56" Type="http://schemas.openxmlformats.org/officeDocument/2006/relationships/hyperlink" Target="mailto:inken_weiss@web.de" TargetMode="External"/><Relationship Id="rId77" Type="http://schemas.openxmlformats.org/officeDocument/2006/relationships/hyperlink" Target="mailto:g.rothuber@modul4.at" TargetMode="External"/><Relationship Id="rId100" Type="http://schemas.openxmlformats.org/officeDocument/2006/relationships/hyperlink" Target="mailto:rocky.caro2015@gmail.de" TargetMode="External"/><Relationship Id="rId105" Type="http://schemas.openxmlformats.org/officeDocument/2006/relationships/hyperlink" Target="mailto:stefanie.opitz@gmx.net" TargetMode="External"/><Relationship Id="rId126" Type="http://schemas.openxmlformats.org/officeDocument/2006/relationships/hyperlink" Target="mailto:tabatha.braun@gmx.ch" TargetMode="External"/><Relationship Id="rId147" Type="http://schemas.openxmlformats.org/officeDocument/2006/relationships/hyperlink" Target="mailto:michael@ib-burkhart.de" TargetMode="External"/><Relationship Id="rId8" Type="http://schemas.openxmlformats.org/officeDocument/2006/relationships/hyperlink" Target="mailto:bruno.brandl@yahoo.de?subject=Ihre%20Anfrage%20&#252;ber%20hunde-urlaub.net" TargetMode="External"/><Relationship Id="rId51" Type="http://schemas.openxmlformats.org/officeDocument/2006/relationships/hyperlink" Target="mailto:yvonneschoene@aol.com" TargetMode="External"/><Relationship Id="rId72" Type="http://schemas.openxmlformats.org/officeDocument/2006/relationships/hyperlink" Target="mailto:kakatschinka@yahoo.com" TargetMode="External"/><Relationship Id="rId93" Type="http://schemas.openxmlformats.org/officeDocument/2006/relationships/hyperlink" Target="mailto:kh9677@gmail.com" TargetMode="External"/><Relationship Id="rId98" Type="http://schemas.openxmlformats.org/officeDocument/2006/relationships/hyperlink" Target="mailto:mail@birgithoffmann.com" TargetMode="External"/><Relationship Id="rId121" Type="http://schemas.openxmlformats.org/officeDocument/2006/relationships/hyperlink" Target="mailto:markuspalm@hotmail.de" TargetMode="External"/><Relationship Id="rId142" Type="http://schemas.openxmlformats.org/officeDocument/2006/relationships/hyperlink" Target="mailto:lotharemmerling@kabelmail.de" TargetMode="External"/><Relationship Id="rId3" Type="http://schemas.openxmlformats.org/officeDocument/2006/relationships/hyperlink" Target="mailto:Usmotorcycles@web.de?subject=Ihre%20Anfrage%20auf%20hunde-urlaub.net" TargetMode="External"/><Relationship Id="rId25" Type="http://schemas.openxmlformats.org/officeDocument/2006/relationships/hyperlink" Target="mailto:kieksi77@yahoo.de?subject=Ihre%20Anfrage%20&#252;ber%20hunde-urlaub.net" TargetMode="External"/><Relationship Id="rId46" Type="http://schemas.openxmlformats.org/officeDocument/2006/relationships/hyperlink" Target="mailto:Christiane.egner@web.de?subject=Ihre%20Anfrage%20&#252;ber%20hunde-urlaub.net" TargetMode="External"/><Relationship Id="rId67" Type="http://schemas.openxmlformats.org/officeDocument/2006/relationships/hyperlink" Target="mailto:samanthabaumann@hotmail.com" TargetMode="External"/><Relationship Id="rId116" Type="http://schemas.openxmlformats.org/officeDocument/2006/relationships/hyperlink" Target="mailto:angel-roman@gmx.de" TargetMode="External"/><Relationship Id="rId137" Type="http://schemas.openxmlformats.org/officeDocument/2006/relationships/hyperlink" Target="mailto:silviavielhauer@airconv.de" TargetMode="External"/><Relationship Id="rId158" Type="http://schemas.openxmlformats.org/officeDocument/2006/relationships/hyperlink" Target="mailto:sbrech.180904@guest.booking.com" TargetMode="External"/><Relationship Id="rId20" Type="http://schemas.openxmlformats.org/officeDocument/2006/relationships/hyperlink" Target="mailto:Nadja.kathrin.engel@icloud.com?subject=Ihre%20Anfrage%20&#252;ber%20hunde-urlaub.net" TargetMode="External"/><Relationship Id="rId41" Type="http://schemas.openxmlformats.org/officeDocument/2006/relationships/hyperlink" Target="mailto:Kimberley0911@gmail.com?subject=Ihre%20Anfrage%20&#252;ber%20hunde-urlaub.net" TargetMode="External"/><Relationship Id="rId62" Type="http://schemas.openxmlformats.org/officeDocument/2006/relationships/hyperlink" Target="mailto:Kinski-anais@web.de" TargetMode="External"/><Relationship Id="rId83" Type="http://schemas.openxmlformats.org/officeDocument/2006/relationships/hyperlink" Target="mailto:fredie1850@gmail.com" TargetMode="External"/><Relationship Id="rId88" Type="http://schemas.openxmlformats.org/officeDocument/2006/relationships/hyperlink" Target="mailto:jenniferkelm.91@web.de" TargetMode="External"/><Relationship Id="rId111" Type="http://schemas.openxmlformats.org/officeDocument/2006/relationships/hyperlink" Target="mailto:ryser.ittigen@bluewin.ch" TargetMode="External"/><Relationship Id="rId132" Type="http://schemas.openxmlformats.org/officeDocument/2006/relationships/hyperlink" Target="mailto:ralphschindler@gmx.de" TargetMode="External"/><Relationship Id="rId153" Type="http://schemas.openxmlformats.org/officeDocument/2006/relationships/hyperlink" Target="mailto:Kobras@gmx.net" TargetMode="External"/><Relationship Id="rId15" Type="http://schemas.openxmlformats.org/officeDocument/2006/relationships/hyperlink" Target="mailto:k.p.moeller@t-online.de?subject=Ihre%20Anfrage%20&#252;ber%20hunde-urlaub.net" TargetMode="External"/><Relationship Id="rId36" Type="http://schemas.openxmlformats.org/officeDocument/2006/relationships/hyperlink" Target="mailto:gregfabi@me.com?subject=Ihre%20Anfrage%20&#252;ber%20hunde-urlaub.net" TargetMode="External"/><Relationship Id="rId57" Type="http://schemas.openxmlformats.org/officeDocument/2006/relationships/hyperlink" Target="mailto:wpg58@web.de" TargetMode="External"/><Relationship Id="rId106" Type="http://schemas.openxmlformats.org/officeDocument/2006/relationships/hyperlink" Target="mailto:Kiam73@t-online.de" TargetMode="External"/><Relationship Id="rId127" Type="http://schemas.openxmlformats.org/officeDocument/2006/relationships/hyperlink" Target="mailto:Arielle071@web.de" TargetMode="External"/><Relationship Id="rId10" Type="http://schemas.openxmlformats.org/officeDocument/2006/relationships/hyperlink" Target="mailto:mlueck71@gmail.com?subject=Ihre%20Anfrage%20&#252;ber%20hunde-urlaub.net" TargetMode="External"/><Relationship Id="rId31" Type="http://schemas.openxmlformats.org/officeDocument/2006/relationships/hyperlink" Target="mailto:michelle.schneider@ptworldwide.de?subject=Ihre%20Anfrage%20&#252;ber%20hunde-urlaub.net" TargetMode="External"/><Relationship Id="rId52" Type="http://schemas.openxmlformats.org/officeDocument/2006/relationships/hyperlink" Target="mailto:brigi212@gmail.com" TargetMode="External"/><Relationship Id="rId73" Type="http://schemas.openxmlformats.org/officeDocument/2006/relationships/hyperlink" Target="mailto:yvi281@gmx.de" TargetMode="External"/><Relationship Id="rId78" Type="http://schemas.openxmlformats.org/officeDocument/2006/relationships/hyperlink" Target="mailto:meixner_martina@web.de" TargetMode="External"/><Relationship Id="rId94" Type="http://schemas.openxmlformats.org/officeDocument/2006/relationships/hyperlink" Target="mailto:r.juhra@yahoo.de" TargetMode="External"/><Relationship Id="rId99" Type="http://schemas.openxmlformats.org/officeDocument/2006/relationships/hyperlink" Target="mailto:brenntano88@gmail.com" TargetMode="External"/><Relationship Id="rId101" Type="http://schemas.openxmlformats.org/officeDocument/2006/relationships/hyperlink" Target="mailto:ramona.mandok@web.de" TargetMode="External"/><Relationship Id="rId122" Type="http://schemas.openxmlformats.org/officeDocument/2006/relationships/hyperlink" Target="mailto:u.momberg@web.de" TargetMode="External"/><Relationship Id="rId143" Type="http://schemas.openxmlformats.org/officeDocument/2006/relationships/hyperlink" Target="mailto:isabel.boecking@gmx.de" TargetMode="External"/><Relationship Id="rId148" Type="http://schemas.openxmlformats.org/officeDocument/2006/relationships/hyperlink" Target="mailto:anette.kaeser@yahoo.com" TargetMode="External"/><Relationship Id="rId4" Type="http://schemas.openxmlformats.org/officeDocument/2006/relationships/hyperlink" Target="mailto:skotschy@aol.com?subject=Ihre%20Anfrage%20&#252;ber%20hunde-urlaub.net" TargetMode="External"/><Relationship Id="rId9" Type="http://schemas.openxmlformats.org/officeDocument/2006/relationships/hyperlink" Target="mailto:marion.donath@web.de?subject=Ihre%20Anfrage%20&#252;ber%20hunde-urlaub.net" TargetMode="External"/><Relationship Id="rId26" Type="http://schemas.openxmlformats.org/officeDocument/2006/relationships/hyperlink" Target="mailto:k.sonnenfeld92@gmail.com?subject=Ihre%20Anfrage%20&#252;ber%20hunde-urlaub.net" TargetMode="External"/><Relationship Id="rId47" Type="http://schemas.openxmlformats.org/officeDocument/2006/relationships/hyperlink" Target="mailto:brigi212@gmail.com?subject=Ihre%20Anfrage%20&#252;ber%20hunde-urlaub.net" TargetMode="External"/><Relationship Id="rId68" Type="http://schemas.openxmlformats.org/officeDocument/2006/relationships/hyperlink" Target="mailto:heinke.waldbaur@gmx.de" TargetMode="External"/><Relationship Id="rId89" Type="http://schemas.openxmlformats.org/officeDocument/2006/relationships/hyperlink" Target="mailto:t.gottschlich@gmx.com" TargetMode="External"/><Relationship Id="rId112" Type="http://schemas.openxmlformats.org/officeDocument/2006/relationships/hyperlink" Target="mailto:kh9677@gmail.com" TargetMode="External"/><Relationship Id="rId133" Type="http://schemas.openxmlformats.org/officeDocument/2006/relationships/hyperlink" Target="mailto:monika.kluger@unitybox.de" TargetMode="External"/><Relationship Id="rId154" Type="http://schemas.openxmlformats.org/officeDocument/2006/relationships/hyperlink" Target="mailto:Trebels@aol.com" TargetMode="External"/><Relationship Id="rId16" Type="http://schemas.openxmlformats.org/officeDocument/2006/relationships/hyperlink" Target="mailto:wickwick@t-online.de?subject=Ihre%20Anfrage%20&#252;ber%20hunde-urlaub.net" TargetMode="External"/><Relationship Id="rId37" Type="http://schemas.openxmlformats.org/officeDocument/2006/relationships/hyperlink" Target="mailto:sandy.ramer@gmx.ch?subject=Ihre%20Anfrage%20&#252;ber%20hunde-urlaub.net" TargetMode="External"/><Relationship Id="rId58" Type="http://schemas.openxmlformats.org/officeDocument/2006/relationships/hyperlink" Target="mailto:marion.koenig@holzbau-trier.com" TargetMode="External"/><Relationship Id="rId79" Type="http://schemas.openxmlformats.org/officeDocument/2006/relationships/hyperlink" Target="mailto:t.kutzner@t-online.de" TargetMode="External"/><Relationship Id="rId102" Type="http://schemas.openxmlformats.org/officeDocument/2006/relationships/hyperlink" Target="mailto:patrick.varga1@gmail.com" TargetMode="External"/><Relationship Id="rId123" Type="http://schemas.openxmlformats.org/officeDocument/2006/relationships/hyperlink" Target="mailto:Schaub-Diersburg@t-online.de" TargetMode="External"/><Relationship Id="rId144" Type="http://schemas.openxmlformats.org/officeDocument/2006/relationships/hyperlink" Target="mailto:anja.teppler@t-online.de" TargetMode="External"/><Relationship Id="rId90" Type="http://schemas.openxmlformats.org/officeDocument/2006/relationships/hyperlink" Target="mailto:petra_schindler-wilkins@web.de" TargetMode="External"/><Relationship Id="rId27" Type="http://schemas.openxmlformats.org/officeDocument/2006/relationships/hyperlink" Target="mailto:s-dreger@arcor.de?subject=Ihre%20Anfrage%20&#252;ber%20hunde-urlaub.net" TargetMode="External"/><Relationship Id="rId48" Type="http://schemas.openxmlformats.org/officeDocument/2006/relationships/hyperlink" Target="mailto:aline.dino@hotmail.com" TargetMode="External"/><Relationship Id="rId69" Type="http://schemas.openxmlformats.org/officeDocument/2006/relationships/hyperlink" Target="mailto:andre.katja@googlemail.com" TargetMode="External"/><Relationship Id="rId113" Type="http://schemas.openxmlformats.org/officeDocument/2006/relationships/hyperlink" Target="mailto:stef-heinrich@web.de" TargetMode="External"/><Relationship Id="rId134" Type="http://schemas.openxmlformats.org/officeDocument/2006/relationships/hyperlink" Target="mailto:j.petra@t-online.de" TargetMode="External"/><Relationship Id="rId80" Type="http://schemas.openxmlformats.org/officeDocument/2006/relationships/hyperlink" Target="mailto:anna.pavlova@gmx.de" TargetMode="External"/><Relationship Id="rId155" Type="http://schemas.openxmlformats.org/officeDocument/2006/relationships/hyperlink" Target="mailto:jeannette.hadam@googlemail.com" TargetMode="External"/></Relationships>
</file>

<file path=xl/worksheets/_rels/sheet33.xml.rels><?xml version="1.0" encoding="UTF-8" standalone="yes"?>
<Relationships xmlns="http://schemas.openxmlformats.org/package/2006/relationships"><Relationship Id="rId26" Type="http://schemas.openxmlformats.org/officeDocument/2006/relationships/hyperlink" Target="mailto:ed@ip-worldcom.ch" TargetMode="External"/><Relationship Id="rId21" Type="http://schemas.openxmlformats.org/officeDocument/2006/relationships/hyperlink" Target="mailto:ap.bachelet@aliceadsl.fr" TargetMode="External"/><Relationship Id="rId42" Type="http://schemas.openxmlformats.org/officeDocument/2006/relationships/hyperlink" Target="mailto:erwanhubert@free.fr" TargetMode="External"/><Relationship Id="rId47" Type="http://schemas.openxmlformats.org/officeDocument/2006/relationships/hyperlink" Target="mailto:dinouardnadie@hotmail.fr" TargetMode="External"/><Relationship Id="rId63" Type="http://schemas.openxmlformats.org/officeDocument/2006/relationships/hyperlink" Target="mailto:sandra.smith62@btinternet.com" TargetMode="External"/><Relationship Id="rId68" Type="http://schemas.openxmlformats.org/officeDocument/2006/relationships/hyperlink" Target="mailto:steph-cheyenne@orange.fr" TargetMode="External"/><Relationship Id="rId16" Type="http://schemas.openxmlformats.org/officeDocument/2006/relationships/hyperlink" Target="mailto:rodriguenavlet@hotmail.com" TargetMode="External"/><Relationship Id="rId11" Type="http://schemas.openxmlformats.org/officeDocument/2006/relationships/hyperlink" Target="mailto:rodriguenavlet@hotmail.com" TargetMode="External"/><Relationship Id="rId24" Type="http://schemas.openxmlformats.org/officeDocument/2006/relationships/hyperlink" Target="mailto:minaluni@yahoo.de" TargetMode="External"/><Relationship Id="rId32" Type="http://schemas.openxmlformats.org/officeDocument/2006/relationships/hyperlink" Target="mailto:nadja@schlup.net" TargetMode="External"/><Relationship Id="rId37" Type="http://schemas.openxmlformats.org/officeDocument/2006/relationships/hyperlink" Target="mailto:GrangerM@bsci.com" TargetMode="External"/><Relationship Id="rId40" Type="http://schemas.openxmlformats.org/officeDocument/2006/relationships/hyperlink" Target="mailto:spajean@wanadoo.fr" TargetMode="External"/><Relationship Id="rId45" Type="http://schemas.openxmlformats.org/officeDocument/2006/relationships/hyperlink" Target="mailto:rolland.josee@gmail.com" TargetMode="External"/><Relationship Id="rId53" Type="http://schemas.openxmlformats.org/officeDocument/2006/relationships/hyperlink" Target="mailto:ericparage@free.fr" TargetMode="External"/><Relationship Id="rId58" Type="http://schemas.openxmlformats.org/officeDocument/2006/relationships/hyperlink" Target="mailto:hortense.everett@gmail.com" TargetMode="External"/><Relationship Id="rId66" Type="http://schemas.openxmlformats.org/officeDocument/2006/relationships/hyperlink" Target="mailto:family@schlup.net" TargetMode="External"/><Relationship Id="rId74" Type="http://schemas.openxmlformats.org/officeDocument/2006/relationships/hyperlink" Target="mailto:lara.kass@gmail.com" TargetMode="External"/><Relationship Id="rId79" Type="http://schemas.openxmlformats.org/officeDocument/2006/relationships/hyperlink" Target="mailto:rodriguenavlet@hotmail.com" TargetMode="External"/><Relationship Id="rId5" Type="http://schemas.openxmlformats.org/officeDocument/2006/relationships/hyperlink" Target="mailto:pepin@ensea.fr" TargetMode="External"/><Relationship Id="rId61" Type="http://schemas.openxmlformats.org/officeDocument/2006/relationships/hyperlink" Target="mailto:lea.beck@live.fr" TargetMode="External"/><Relationship Id="rId19" Type="http://schemas.openxmlformats.org/officeDocument/2006/relationships/hyperlink" Target="mailto:christiane.schmitzberger@numericable.fr" TargetMode="External"/><Relationship Id="rId14" Type="http://schemas.openxmlformats.org/officeDocument/2006/relationships/hyperlink" Target="mailto:joerg.parzl@mellinundmellin.de" TargetMode="External"/><Relationship Id="rId22" Type="http://schemas.openxmlformats.org/officeDocument/2006/relationships/hyperlink" Target="mailto:ghieronimus@live.fr" TargetMode="External"/><Relationship Id="rId27" Type="http://schemas.openxmlformats.org/officeDocument/2006/relationships/hyperlink" Target="mailto:helene.losfelt@dbmail.com" TargetMode="External"/><Relationship Id="rId30" Type="http://schemas.openxmlformats.org/officeDocument/2006/relationships/hyperlink" Target="mailto:dede7@pt.lu" TargetMode="External"/><Relationship Id="rId35" Type="http://schemas.openxmlformats.org/officeDocument/2006/relationships/hyperlink" Target="mailto:hans.janse@hetnet.nl" TargetMode="External"/><Relationship Id="rId43" Type="http://schemas.openxmlformats.org/officeDocument/2006/relationships/hyperlink" Target="mailto:steve@stevelesloy.freeserve.co.uk" TargetMode="External"/><Relationship Id="rId48" Type="http://schemas.openxmlformats.org/officeDocument/2006/relationships/hyperlink" Target="mailto:nathalie.bourson@education.lu" TargetMode="External"/><Relationship Id="rId56" Type="http://schemas.openxmlformats.org/officeDocument/2006/relationships/hyperlink" Target="mailto:tran.giang@me.com" TargetMode="External"/><Relationship Id="rId64" Type="http://schemas.openxmlformats.org/officeDocument/2006/relationships/hyperlink" Target="mailto:nanton@pt.lu" TargetMode="External"/><Relationship Id="rId69" Type="http://schemas.openxmlformats.org/officeDocument/2006/relationships/hyperlink" Target="mailto:rodriguenavlet@hotmail.com" TargetMode="External"/><Relationship Id="rId77" Type="http://schemas.openxmlformats.org/officeDocument/2006/relationships/hyperlink" Target="mailto:pn44905@GlaxoWellcome.co.uk" TargetMode="External"/><Relationship Id="rId8" Type="http://schemas.openxmlformats.org/officeDocument/2006/relationships/hyperlink" Target="mailto:wunderhorn@t-online.de" TargetMode="External"/><Relationship Id="rId51" Type="http://schemas.openxmlformats.org/officeDocument/2006/relationships/hyperlink" Target="mailto:odilecarlier@orange.fr" TargetMode="External"/><Relationship Id="rId72" Type="http://schemas.openxmlformats.org/officeDocument/2006/relationships/hyperlink" Target="mailto:diane.dupont@ml.etat.lu" TargetMode="External"/><Relationship Id="rId80" Type="http://schemas.openxmlformats.org/officeDocument/2006/relationships/hyperlink" Target="mailto:gerdenis@wanadoo.fr" TargetMode="External"/><Relationship Id="rId3" Type="http://schemas.openxmlformats.org/officeDocument/2006/relationships/hyperlink" Target="mailto:coccinelle60@gmail.com" TargetMode="External"/><Relationship Id="rId12" Type="http://schemas.openxmlformats.org/officeDocument/2006/relationships/hyperlink" Target="mailto:m.moussie@numericable.com" TargetMode="External"/><Relationship Id="rId17" Type="http://schemas.openxmlformats.org/officeDocument/2006/relationships/hyperlink" Target="mailto:pierre.chalard@univ-bpclermont.fr" TargetMode="External"/><Relationship Id="rId25" Type="http://schemas.openxmlformats.org/officeDocument/2006/relationships/hyperlink" Target="mailto:kiki.tipunch@wanadoo.fr" TargetMode="External"/><Relationship Id="rId33" Type="http://schemas.openxmlformats.org/officeDocument/2006/relationships/hyperlink" Target="mailto:pepin@ensea.fr" TargetMode="External"/><Relationship Id="rId38" Type="http://schemas.openxmlformats.org/officeDocument/2006/relationships/hyperlink" Target="mailto:evanlierde@coldsetprintingpartners.be" TargetMode="External"/><Relationship Id="rId46" Type="http://schemas.openxmlformats.org/officeDocument/2006/relationships/hyperlink" Target="mailto:christele.mace@numericable.fr" TargetMode="External"/><Relationship Id="rId59" Type="http://schemas.openxmlformats.org/officeDocument/2006/relationships/hyperlink" Target="mailto:diane.dupont@ml.etat.lu" TargetMode="External"/><Relationship Id="rId67" Type="http://schemas.openxmlformats.org/officeDocument/2006/relationships/hyperlink" Target="mailto:diane.dupont@ml.etat.lu" TargetMode="External"/><Relationship Id="rId20" Type="http://schemas.openxmlformats.org/officeDocument/2006/relationships/hyperlink" Target="mailto:movet.jean-pierre@neuf.fr" TargetMode="External"/><Relationship Id="rId41" Type="http://schemas.openxmlformats.org/officeDocument/2006/relationships/hyperlink" Target="mailto:marchal@woodfashion.com" TargetMode="External"/><Relationship Id="rId54" Type="http://schemas.openxmlformats.org/officeDocument/2006/relationships/hyperlink" Target="mailto:herveplateau1@gmail.com" TargetMode="External"/><Relationship Id="rId62" Type="http://schemas.openxmlformats.org/officeDocument/2006/relationships/hyperlink" Target="mailto:amillet7@wanadoo.fr" TargetMode="External"/><Relationship Id="rId70" Type="http://schemas.openxmlformats.org/officeDocument/2006/relationships/hyperlink" Target="mailto:brigittechanteloube@wanadoo.fr" TargetMode="External"/><Relationship Id="rId75" Type="http://schemas.openxmlformats.org/officeDocument/2006/relationships/hyperlink" Target="mailto:odilecarlier@orange.fr" TargetMode="External"/><Relationship Id="rId1" Type="http://schemas.openxmlformats.org/officeDocument/2006/relationships/hyperlink" Target="mailto:sebastien.cornu@bluewin.ch" TargetMode="External"/><Relationship Id="rId6" Type="http://schemas.openxmlformats.org/officeDocument/2006/relationships/hyperlink" Target="mailto:mascha@blatow.de" TargetMode="External"/><Relationship Id="rId15" Type="http://schemas.openxmlformats.org/officeDocument/2006/relationships/hyperlink" Target="mailto:mruethy@bluewin.ch" TargetMode="External"/><Relationship Id="rId23" Type="http://schemas.openxmlformats.org/officeDocument/2006/relationships/hyperlink" Target="mailto:ebschmitter@bluewin.ch" TargetMode="External"/><Relationship Id="rId28" Type="http://schemas.openxmlformats.org/officeDocument/2006/relationships/hyperlink" Target="mailto:Fabrice.FLAMME@spw.wallonie.be" TargetMode="External"/><Relationship Id="rId36" Type="http://schemas.openxmlformats.org/officeDocument/2006/relationships/hyperlink" Target="mailto:davidb39@hotmail.fr" TargetMode="External"/><Relationship Id="rId49" Type="http://schemas.openxmlformats.org/officeDocument/2006/relationships/hyperlink" Target="mailto:peggy.wolsfeld@education.lu" TargetMode="External"/><Relationship Id="rId57" Type="http://schemas.openxmlformats.org/officeDocument/2006/relationships/hyperlink" Target="mailto:nathalie.bourson@education.lu" TargetMode="External"/><Relationship Id="rId10" Type="http://schemas.openxmlformats.org/officeDocument/2006/relationships/hyperlink" Target="mailto:hula1@intergga.ch" TargetMode="External"/><Relationship Id="rId31" Type="http://schemas.openxmlformats.org/officeDocument/2006/relationships/hyperlink" Target="mailto:s-demaret@wanadoo.fr" TargetMode="External"/><Relationship Id="rId44" Type="http://schemas.openxmlformats.org/officeDocument/2006/relationships/hyperlink" Target="mailto:sylvie.vla@live.com" TargetMode="External"/><Relationship Id="rId52" Type="http://schemas.openxmlformats.org/officeDocument/2006/relationships/hyperlink" Target="mailto:diane.dupont@ml.etat.lu" TargetMode="External"/><Relationship Id="rId60" Type="http://schemas.openxmlformats.org/officeDocument/2006/relationships/hyperlink" Target="mailto:boucheron.elodie@laposte.net" TargetMode="External"/><Relationship Id="rId65" Type="http://schemas.openxmlformats.org/officeDocument/2006/relationships/hyperlink" Target="mailto:nikolerdc@wanadoo.fr" TargetMode="External"/><Relationship Id="rId73" Type="http://schemas.openxmlformats.org/officeDocument/2006/relationships/hyperlink" Target="mailto:ryser.ittigen@bluewin.ch" TargetMode="External"/><Relationship Id="rId78" Type="http://schemas.openxmlformats.org/officeDocument/2006/relationships/hyperlink" Target="mailto:marc.dewasme@wanadoo.fr" TargetMode="External"/><Relationship Id="rId4" Type="http://schemas.openxmlformats.org/officeDocument/2006/relationships/hyperlink" Target="mailto:Tibor.Gyalog@unibas.ch" TargetMode="External"/><Relationship Id="rId9" Type="http://schemas.openxmlformats.org/officeDocument/2006/relationships/hyperlink" Target="mailto:ascholte@pt.lu" TargetMode="External"/><Relationship Id="rId13" Type="http://schemas.openxmlformats.org/officeDocument/2006/relationships/hyperlink" Target="mailto:pepin@ensea.fr" TargetMode="External"/><Relationship Id="rId18" Type="http://schemas.openxmlformats.org/officeDocument/2006/relationships/hyperlink" Target="mailto:gaelle7801@live.fr" TargetMode="External"/><Relationship Id="rId39" Type="http://schemas.openxmlformats.org/officeDocument/2006/relationships/hyperlink" Target="mailto:cprevost74@yahoo.fr" TargetMode="External"/><Relationship Id="rId34" Type="http://schemas.openxmlformats.org/officeDocument/2006/relationships/hyperlink" Target="mailto:larmadio@wanadoo.fr" TargetMode="External"/><Relationship Id="rId50" Type="http://schemas.openxmlformats.org/officeDocument/2006/relationships/hyperlink" Target="mailto:marjolein@hovingnet.nl" TargetMode="External"/><Relationship Id="rId55" Type="http://schemas.openxmlformats.org/officeDocument/2006/relationships/hyperlink" Target="mailto:brendaruck@zeelandnet.nl" TargetMode="External"/><Relationship Id="rId76" Type="http://schemas.openxmlformats.org/officeDocument/2006/relationships/hyperlink" Target="mailto:ronmeier@zeelandnet.nl" TargetMode="External"/><Relationship Id="rId7" Type="http://schemas.openxmlformats.org/officeDocument/2006/relationships/hyperlink" Target="mailto:mic.ti@orange.fr" TargetMode="External"/><Relationship Id="rId71" Type="http://schemas.openxmlformats.org/officeDocument/2006/relationships/hyperlink" Target="mailto:moreaulaurence@free.fr" TargetMode="External"/><Relationship Id="rId2" Type="http://schemas.openxmlformats.org/officeDocument/2006/relationships/hyperlink" Target="mailto:denis.minel@laposte.net" TargetMode="External"/><Relationship Id="rId29" Type="http://schemas.openxmlformats.org/officeDocument/2006/relationships/hyperlink" Target="mailto:duchenenicola@yahoo.fr" TargetMode="External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hyperlink" Target="mailto:ja@bildhaus.ch" TargetMode="External"/><Relationship Id="rId2" Type="http://schemas.openxmlformats.org/officeDocument/2006/relationships/hyperlink" Target="mailto:andreilmes@bluewin.ch" TargetMode="External"/><Relationship Id="rId1" Type="http://schemas.openxmlformats.org/officeDocument/2006/relationships/hyperlink" Target="mailto:jens.kromschroeder@web.de" TargetMode="External"/><Relationship Id="rId6" Type="http://schemas.openxmlformats.org/officeDocument/2006/relationships/printerSettings" Target="../printerSettings/printerSettings16.bin"/><Relationship Id="rId5" Type="http://schemas.openxmlformats.org/officeDocument/2006/relationships/hyperlink" Target="mailto:audrey.morvan77176@gmail.com" TargetMode="External"/><Relationship Id="rId4" Type="http://schemas.openxmlformats.org/officeDocument/2006/relationships/hyperlink" Target="mailto:ralt@swiss.com" TargetMode="External"/></Relationships>
</file>

<file path=xl/worksheets/_rels/sheet4.xml.rels><?xml version="1.0" encoding="UTF-8" standalone="yes"?>
<Relationships xmlns="http://schemas.openxmlformats.org/package/2006/relationships"><Relationship Id="rId13" Type="http://schemas.openxmlformats.org/officeDocument/2006/relationships/hyperlink" Target="mailto:vriemer@t-online.de" TargetMode="External"/><Relationship Id="rId18" Type="http://schemas.openxmlformats.org/officeDocument/2006/relationships/hyperlink" Target="mailto:inaschaefer@mailbox.org" TargetMode="External"/><Relationship Id="rId26" Type="http://schemas.openxmlformats.org/officeDocument/2006/relationships/hyperlink" Target="mailto:hambuechen.tanja@web.de" TargetMode="External"/><Relationship Id="rId39" Type="http://schemas.openxmlformats.org/officeDocument/2006/relationships/hyperlink" Target="mailto:i.renato@t-online.de" TargetMode="External"/><Relationship Id="rId21" Type="http://schemas.openxmlformats.org/officeDocument/2006/relationships/hyperlink" Target="mailto:danyjunker@yahoo.de" TargetMode="External"/><Relationship Id="rId34" Type="http://schemas.openxmlformats.org/officeDocument/2006/relationships/hyperlink" Target="mailto:nicole@gartenbau-huettemann.de" TargetMode="External"/><Relationship Id="rId7" Type="http://schemas.openxmlformats.org/officeDocument/2006/relationships/hyperlink" Target="mailto:Nici71735@aol.com" TargetMode="External"/><Relationship Id="rId12" Type="http://schemas.openxmlformats.org/officeDocument/2006/relationships/hyperlink" Target="mailto:to.m@me.com" TargetMode="External"/><Relationship Id="rId17" Type="http://schemas.openxmlformats.org/officeDocument/2006/relationships/hyperlink" Target="mailto:kzaehnler@bluewin.ch" TargetMode="External"/><Relationship Id="rId25" Type="http://schemas.openxmlformats.org/officeDocument/2006/relationships/hyperlink" Target="mailto:nicolettekressl@gmx.de" TargetMode="External"/><Relationship Id="rId33" Type="http://schemas.openxmlformats.org/officeDocument/2006/relationships/hyperlink" Target="mailto:gs@architekt-strauch.de" TargetMode="External"/><Relationship Id="rId38" Type="http://schemas.openxmlformats.org/officeDocument/2006/relationships/hyperlink" Target="mailto:conchita@boxrobin.ch" TargetMode="External"/><Relationship Id="rId2" Type="http://schemas.openxmlformats.org/officeDocument/2006/relationships/hyperlink" Target="mailto:andrea_gehrmann@web.de" TargetMode="External"/><Relationship Id="rId16" Type="http://schemas.openxmlformats.org/officeDocument/2006/relationships/hyperlink" Target="mailto:slsb79@hotmail.com" TargetMode="External"/><Relationship Id="rId20" Type="http://schemas.openxmlformats.org/officeDocument/2006/relationships/hyperlink" Target="mailto:monika_boehnert@web.de" TargetMode="External"/><Relationship Id="rId29" Type="http://schemas.openxmlformats.org/officeDocument/2006/relationships/hyperlink" Target="mailto:ralfpilger@unitybox.de" TargetMode="External"/><Relationship Id="rId1" Type="http://schemas.openxmlformats.org/officeDocument/2006/relationships/hyperlink" Target="mailto:mjehmcke@t-online.de" TargetMode="External"/><Relationship Id="rId6" Type="http://schemas.openxmlformats.org/officeDocument/2006/relationships/hyperlink" Target="mailto:heike.jakob3@web.de" TargetMode="External"/><Relationship Id="rId11" Type="http://schemas.openxmlformats.org/officeDocument/2006/relationships/hyperlink" Target="mailto:gerfried.knaeble@t-online.de" TargetMode="External"/><Relationship Id="rId24" Type="http://schemas.openxmlformats.org/officeDocument/2006/relationships/hyperlink" Target="mailto:j.ziegler485@gmail.com" TargetMode="External"/><Relationship Id="rId32" Type="http://schemas.openxmlformats.org/officeDocument/2006/relationships/hyperlink" Target="mailto:slsb79@hotmail.com" TargetMode="External"/><Relationship Id="rId37" Type="http://schemas.openxmlformats.org/officeDocument/2006/relationships/hyperlink" Target="mailto:aagilly@gmail.com" TargetMode="External"/><Relationship Id="rId40" Type="http://schemas.openxmlformats.org/officeDocument/2006/relationships/hyperlink" Target="mailto:michael.giese@fbnord.de" TargetMode="External"/><Relationship Id="rId5" Type="http://schemas.openxmlformats.org/officeDocument/2006/relationships/hyperlink" Target="mailto:janine.m2@gmx.de" TargetMode="External"/><Relationship Id="rId15" Type="http://schemas.openxmlformats.org/officeDocument/2006/relationships/hyperlink" Target="mailto:ralph.koerber@gmail.com" TargetMode="External"/><Relationship Id="rId23" Type="http://schemas.openxmlformats.org/officeDocument/2006/relationships/hyperlink" Target="mailto:b.hoelscher@ish.de" TargetMode="External"/><Relationship Id="rId28" Type="http://schemas.openxmlformats.org/officeDocument/2006/relationships/hyperlink" Target="mailto:bnstefanb@gmx.de" TargetMode="External"/><Relationship Id="rId36" Type="http://schemas.openxmlformats.org/officeDocument/2006/relationships/hyperlink" Target="mailto:esther.zeier@bluewin.ch" TargetMode="External"/><Relationship Id="rId10" Type="http://schemas.openxmlformats.org/officeDocument/2006/relationships/hyperlink" Target="mailto:kleinschmidt@kle-ger.com" TargetMode="External"/><Relationship Id="rId19" Type="http://schemas.openxmlformats.org/officeDocument/2006/relationships/hyperlink" Target="mailto:info@cds-campos.de" TargetMode="External"/><Relationship Id="rId31" Type="http://schemas.openxmlformats.org/officeDocument/2006/relationships/hyperlink" Target="mailto:jh@ventura-systems.de" TargetMode="External"/><Relationship Id="rId4" Type="http://schemas.openxmlformats.org/officeDocument/2006/relationships/hyperlink" Target="mailto:m.atten@mafidu.lu" TargetMode="External"/><Relationship Id="rId9" Type="http://schemas.openxmlformats.org/officeDocument/2006/relationships/hyperlink" Target="mailto:hensim.bitho@t-online.de" TargetMode="External"/><Relationship Id="rId14" Type="http://schemas.openxmlformats.org/officeDocument/2006/relationships/hyperlink" Target="mailto:carmen_siebel@web.de" TargetMode="External"/><Relationship Id="rId22" Type="http://schemas.openxmlformats.org/officeDocument/2006/relationships/hyperlink" Target="mailto:bgruson@orange.fr" TargetMode="External"/><Relationship Id="rId27" Type="http://schemas.openxmlformats.org/officeDocument/2006/relationships/hyperlink" Target="mailto:merkelbach.heiner@web.de" TargetMode="External"/><Relationship Id="rId30" Type="http://schemas.openxmlformats.org/officeDocument/2006/relationships/hyperlink" Target="mailto:b.w.bretschneider@gmail.com" TargetMode="External"/><Relationship Id="rId35" Type="http://schemas.openxmlformats.org/officeDocument/2006/relationships/hyperlink" Target="mailto:p.menager68@gmail.com" TargetMode="External"/><Relationship Id="rId8" Type="http://schemas.openxmlformats.org/officeDocument/2006/relationships/hyperlink" Target="mailto:eowyn16@web.de" TargetMode="External"/><Relationship Id="rId3" Type="http://schemas.openxmlformats.org/officeDocument/2006/relationships/hyperlink" Target="mailto:antje@boxfisch-design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76"/>
  <sheetViews>
    <sheetView workbookViewId="0">
      <pane xSplit="1" ySplit="1" topLeftCell="K2" activePane="bottomRight" state="frozen"/>
      <selection pane="topRight" activeCell="B1" sqref="B1"/>
      <selection pane="bottomLeft" activeCell="A2" sqref="A2"/>
      <selection pane="bottomRight" activeCell="T15" sqref="T15"/>
    </sheetView>
  </sheetViews>
  <sheetFormatPr baseColWidth="10" defaultColWidth="10.88671875" defaultRowHeight="10.199999999999999"/>
  <cols>
    <col min="1" max="1" width="25.88671875" style="8" customWidth="1"/>
    <col min="2" max="2" width="22.77734375" style="8" hidden="1" customWidth="1"/>
    <col min="3" max="3" width="24.44140625" style="8" hidden="1" customWidth="1"/>
    <col min="4" max="4" width="13.44140625" style="8" hidden="1" customWidth="1"/>
    <col min="5" max="6" width="6.6640625" style="8" hidden="1" customWidth="1"/>
    <col min="7" max="7" width="12.21875" style="8" hidden="1" customWidth="1"/>
    <col min="8" max="8" width="6.6640625" style="8" hidden="1" customWidth="1"/>
    <col min="9" max="10" width="8.44140625" style="8" hidden="1" customWidth="1"/>
    <col min="11" max="12" width="8.44140625" style="8" customWidth="1"/>
    <col min="13" max="13" width="8.44140625" style="439" customWidth="1"/>
    <col min="14" max="14" width="10.44140625" style="439" customWidth="1"/>
    <col min="15" max="20" width="8.44140625" style="439" customWidth="1"/>
    <col min="21" max="22" width="7" style="439" customWidth="1"/>
    <col min="23" max="23" width="10.88671875" style="8"/>
    <col min="24" max="24" width="15.5546875" style="8" bestFit="1" customWidth="1"/>
    <col min="25" max="25" width="15.21875" style="8" bestFit="1" customWidth="1"/>
    <col min="26" max="16384" width="10.88671875" style="8"/>
  </cols>
  <sheetData>
    <row r="1" spans="1:23">
      <c r="A1" s="133" t="s">
        <v>2469</v>
      </c>
      <c r="B1" s="133">
        <v>2008</v>
      </c>
      <c r="C1" s="133">
        <v>2009</v>
      </c>
      <c r="D1" s="133">
        <v>2010</v>
      </c>
      <c r="E1" s="133">
        <v>2011</v>
      </c>
      <c r="F1" s="133">
        <v>2012</v>
      </c>
      <c r="G1" s="133">
        <v>2013</v>
      </c>
      <c r="H1" s="133">
        <v>2014</v>
      </c>
      <c r="I1" s="133">
        <v>2015</v>
      </c>
      <c r="J1" s="133">
        <v>2016</v>
      </c>
      <c r="K1" s="133">
        <v>2017</v>
      </c>
      <c r="L1" s="133">
        <v>2018</v>
      </c>
      <c r="M1" s="133">
        <v>2019</v>
      </c>
      <c r="N1" s="133">
        <v>2020</v>
      </c>
      <c r="O1" s="133">
        <v>2021</v>
      </c>
      <c r="P1" s="133">
        <v>2022</v>
      </c>
      <c r="Q1" s="133">
        <v>2023</v>
      </c>
      <c r="R1" s="133">
        <v>2024</v>
      </c>
      <c r="S1" s="133">
        <v>2025</v>
      </c>
      <c r="T1" s="133">
        <v>2026</v>
      </c>
      <c r="U1" s="133">
        <v>2027</v>
      </c>
      <c r="V1" s="133">
        <v>2028</v>
      </c>
      <c r="W1" s="913" t="s">
        <v>992</v>
      </c>
    </row>
    <row r="2" spans="1:23">
      <c r="A2" s="132" t="s">
        <v>2467</v>
      </c>
      <c r="B2" s="132">
        <f>'Cleder '!B22</f>
        <v>22</v>
      </c>
      <c r="C2" s="132">
        <f>'Cleder '!B51</f>
        <v>23</v>
      </c>
      <c r="D2" s="132">
        <f>'Cleder '!B78</f>
        <v>23</v>
      </c>
      <c r="E2" s="132">
        <f>'Cleder '!B111</f>
        <v>25</v>
      </c>
      <c r="F2" s="132">
        <f>'Cleder '!B143</f>
        <v>30</v>
      </c>
      <c r="G2" s="132">
        <f>'Cleder '!B186</f>
        <v>27</v>
      </c>
      <c r="H2" s="132">
        <f>'Cleder '!B242</f>
        <v>25</v>
      </c>
      <c r="I2" s="132">
        <f>'Cleder '!B306</f>
        <v>31.5</v>
      </c>
      <c r="J2" s="132">
        <f>'Cleder '!B372</f>
        <v>26</v>
      </c>
      <c r="K2" s="132">
        <f>'Cleder '!B414</f>
        <v>30</v>
      </c>
      <c r="L2" s="132">
        <f>'Cleder '!B449</f>
        <v>32</v>
      </c>
      <c r="M2" s="132">
        <f>'Cleder '!B492</f>
        <v>33</v>
      </c>
      <c r="N2" s="685">
        <f>'Cleder '!B533</f>
        <v>16.5</v>
      </c>
      <c r="O2" s="685">
        <f>'Cleder '!B577</f>
        <v>31</v>
      </c>
      <c r="P2" s="685">
        <f>'Cleder '!B617</f>
        <v>34.5</v>
      </c>
      <c r="Q2" s="685">
        <f>'Cleder '!B654</f>
        <v>32</v>
      </c>
      <c r="R2" s="685">
        <f>'Cleder '!B702</f>
        <v>30</v>
      </c>
      <c r="S2" s="685">
        <f>'Cleder '!B743</f>
        <v>36</v>
      </c>
      <c r="T2" s="685">
        <f>'Cleder '!B787</f>
        <v>35</v>
      </c>
      <c r="U2" s="685">
        <f>'Cleder '!B815</f>
        <v>13</v>
      </c>
      <c r="V2" s="685">
        <f>'Cleder '!B836</f>
        <v>2</v>
      </c>
      <c r="W2" s="856"/>
    </row>
    <row r="3" spans="1:23">
      <c r="A3" s="132" t="s">
        <v>2468</v>
      </c>
      <c r="B3" s="132">
        <v>0</v>
      </c>
      <c r="C3" s="132">
        <v>0</v>
      </c>
      <c r="D3" s="132">
        <v>0</v>
      </c>
      <c r="E3" s="132">
        <v>0</v>
      </c>
      <c r="F3" s="132">
        <v>0</v>
      </c>
      <c r="G3" s="132">
        <v>0</v>
      </c>
      <c r="H3" s="132">
        <v>0</v>
      </c>
      <c r="I3" s="132">
        <v>0</v>
      </c>
      <c r="J3" s="132">
        <v>0</v>
      </c>
      <c r="K3" s="132">
        <v>0</v>
      </c>
      <c r="L3" s="132">
        <v>0</v>
      </c>
      <c r="M3" s="132">
        <f>'Plouescat '!B17</f>
        <v>16.5</v>
      </c>
      <c r="N3" s="685">
        <f>'Plouescat '!B51</f>
        <v>14.5</v>
      </c>
      <c r="O3" s="685">
        <f>'Plouescat '!B91</f>
        <v>26</v>
      </c>
      <c r="P3" s="685">
        <f>'Plouescat '!B126</f>
        <v>35</v>
      </c>
      <c r="Q3" s="685">
        <f>'Plouescat '!B159</f>
        <v>36.5</v>
      </c>
      <c r="R3" s="685">
        <f>'Plouescat '!B208</f>
        <v>36</v>
      </c>
      <c r="S3" s="685">
        <f>'Plouescat '!B253</f>
        <v>35</v>
      </c>
      <c r="T3" s="685">
        <f>'Plouescat '!B299</f>
        <v>32</v>
      </c>
      <c r="U3" s="685">
        <f>'Plouescat '!B329</f>
        <v>6.5</v>
      </c>
      <c r="V3" s="685"/>
      <c r="W3" s="856"/>
    </row>
    <row r="4" spans="1:23">
      <c r="A4" s="132" t="s">
        <v>3829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685"/>
      <c r="O4" s="685"/>
      <c r="P4" s="685"/>
      <c r="Q4" s="685">
        <v>0</v>
      </c>
      <c r="R4" s="685">
        <f>'Roscoff '!B19</f>
        <v>18</v>
      </c>
      <c r="S4" s="685">
        <f>'Roscoff '!B51</f>
        <v>21</v>
      </c>
      <c r="T4" s="685">
        <f>'Roscoff '!B91</f>
        <v>22</v>
      </c>
      <c r="U4" s="685">
        <f>'Roscoff '!B127</f>
        <v>1</v>
      </c>
      <c r="V4" s="685"/>
      <c r="W4" s="856"/>
    </row>
    <row r="5" spans="1:23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685"/>
      <c r="O5" s="685"/>
      <c r="P5" s="685"/>
      <c r="Q5" s="685"/>
      <c r="R5" s="685"/>
      <c r="S5" s="685"/>
      <c r="T5" s="685"/>
      <c r="U5" s="685"/>
      <c r="V5" s="685"/>
      <c r="W5" s="856"/>
    </row>
    <row r="6" spans="1:23">
      <c r="A6" s="133" t="s">
        <v>2469</v>
      </c>
      <c r="B6" s="133">
        <v>2008</v>
      </c>
      <c r="C6" s="133">
        <v>2009</v>
      </c>
      <c r="D6" s="133">
        <v>2010</v>
      </c>
      <c r="E6" s="133">
        <v>2011</v>
      </c>
      <c r="F6" s="133">
        <v>2012</v>
      </c>
      <c r="G6" s="133">
        <v>2013</v>
      </c>
      <c r="H6" s="133">
        <v>2014</v>
      </c>
      <c r="I6" s="133">
        <v>2015</v>
      </c>
      <c r="J6" s="133">
        <v>2016</v>
      </c>
      <c r="K6" s="133">
        <v>2017</v>
      </c>
      <c r="L6" s="133">
        <v>2018</v>
      </c>
      <c r="M6" s="133">
        <v>2019</v>
      </c>
      <c r="N6" s="133">
        <v>2020</v>
      </c>
      <c r="O6" s="133">
        <v>2021</v>
      </c>
      <c r="P6" s="133">
        <v>2022</v>
      </c>
      <c r="Q6" s="133">
        <v>2023</v>
      </c>
      <c r="R6" s="133">
        <v>2024</v>
      </c>
      <c r="S6" s="133">
        <v>2025</v>
      </c>
      <c r="T6" s="133">
        <v>2026</v>
      </c>
      <c r="U6" s="133">
        <v>2027</v>
      </c>
      <c r="V6" s="133">
        <v>2028</v>
      </c>
      <c r="W6" s="913" t="s">
        <v>992</v>
      </c>
    </row>
    <row r="7" spans="1:23" s="408" customFormat="1">
      <c r="A7" s="410" t="s">
        <v>2465</v>
      </c>
      <c r="B7" s="410">
        <f>'Cleder '!B21</f>
        <v>24680</v>
      </c>
      <c r="C7" s="410">
        <f>'Cleder '!B50</f>
        <v>26051</v>
      </c>
      <c r="D7" s="410">
        <f>'Cleder '!B77</f>
        <v>26317</v>
      </c>
      <c r="E7" s="410">
        <f>'Cleder '!B110</f>
        <v>27909</v>
      </c>
      <c r="F7" s="410">
        <f>'Cleder '!B142</f>
        <v>34278.5</v>
      </c>
      <c r="G7" s="410">
        <f>'Cleder '!B185</f>
        <v>29554</v>
      </c>
      <c r="H7" s="410">
        <f>'Cleder '!B241</f>
        <v>28775</v>
      </c>
      <c r="I7" s="410">
        <f>'Cleder '!B305</f>
        <v>33114</v>
      </c>
      <c r="J7" s="410">
        <f>'Cleder '!B371</f>
        <v>32650.845652173914</v>
      </c>
      <c r="K7" s="410">
        <f>'Cleder '!B413</f>
        <v>36500.5</v>
      </c>
      <c r="L7" s="410">
        <f>'Cleder '!B448</f>
        <v>38312</v>
      </c>
      <c r="M7" s="410">
        <f>'Cleder '!B491</f>
        <v>41651</v>
      </c>
      <c r="N7" s="410">
        <f>'Cleder '!B532</f>
        <v>29428.93</v>
      </c>
      <c r="O7" s="410">
        <f>'Cleder '!B576</f>
        <v>42773.51</v>
      </c>
      <c r="P7" s="410">
        <f>'Cleder '!B616</f>
        <v>48832.5</v>
      </c>
      <c r="Q7" s="410">
        <f>'Cleder '!B653</f>
        <v>56682</v>
      </c>
      <c r="R7" s="410">
        <f>'Cleder '!B701</f>
        <v>76238</v>
      </c>
      <c r="S7" s="909">
        <f>'Cleder '!B742</f>
        <v>62170</v>
      </c>
      <c r="T7" s="410">
        <f>'Cleder '!B786</f>
        <v>65145</v>
      </c>
      <c r="U7" s="410">
        <f>'Cleder '!B814</f>
        <v>27470</v>
      </c>
      <c r="V7" s="410">
        <f>'Cleder '!B835</f>
        <v>4134</v>
      </c>
      <c r="W7" s="914">
        <f>SUM(B7:V7)</f>
        <v>792666.78565217392</v>
      </c>
    </row>
    <row r="8" spans="1:23" s="912" customFormat="1">
      <c r="A8" s="910" t="s">
        <v>2466</v>
      </c>
      <c r="B8" s="910">
        <v>0</v>
      </c>
      <c r="C8" s="910">
        <v>0</v>
      </c>
      <c r="D8" s="910">
        <v>0</v>
      </c>
      <c r="E8" s="910">
        <v>0</v>
      </c>
      <c r="F8" s="910">
        <v>0</v>
      </c>
      <c r="G8" s="910">
        <v>0</v>
      </c>
      <c r="H8" s="910">
        <v>0</v>
      </c>
      <c r="I8" s="910">
        <v>0</v>
      </c>
      <c r="J8" s="910">
        <v>0</v>
      </c>
      <c r="K8" s="910">
        <v>0</v>
      </c>
      <c r="L8" s="910">
        <v>0</v>
      </c>
      <c r="M8" s="910">
        <f>'Plouescat '!B16</f>
        <v>22559</v>
      </c>
      <c r="N8" s="910">
        <f>'Plouescat '!B50</f>
        <v>25035</v>
      </c>
      <c r="O8" s="910">
        <f>'Plouescat '!B90</f>
        <v>36585.54</v>
      </c>
      <c r="P8" s="910">
        <f>'Plouescat '!B125</f>
        <v>51176.5</v>
      </c>
      <c r="Q8" s="910">
        <f>'Plouescat '!B158</f>
        <v>58171.21</v>
      </c>
      <c r="R8" s="910">
        <f>'Plouescat '!B207</f>
        <v>62252.62</v>
      </c>
      <c r="S8" s="911">
        <f>'Plouescat '!B252</f>
        <v>59526</v>
      </c>
      <c r="T8" s="910">
        <f>'Plouescat '!B298</f>
        <v>62418</v>
      </c>
      <c r="U8" s="910">
        <f>'Plouescat '!B328</f>
        <v>9286</v>
      </c>
      <c r="V8" s="910"/>
      <c r="W8" s="915">
        <f>SUM(B8:V8)</f>
        <v>387009.87</v>
      </c>
    </row>
    <row r="9" spans="1:23" s="845" customFormat="1">
      <c r="A9" s="847" t="s">
        <v>3827</v>
      </c>
      <c r="B9" s="847"/>
      <c r="C9" s="847"/>
      <c r="D9" s="847"/>
      <c r="E9" s="847"/>
      <c r="F9" s="847"/>
      <c r="G9" s="847"/>
      <c r="H9" s="847"/>
      <c r="I9" s="847">
        <v>0</v>
      </c>
      <c r="J9" s="847">
        <v>0</v>
      </c>
      <c r="K9" s="847">
        <v>0</v>
      </c>
      <c r="L9" s="847">
        <v>0</v>
      </c>
      <c r="M9" s="847">
        <v>0</v>
      </c>
      <c r="N9" s="847">
        <v>0</v>
      </c>
      <c r="O9" s="847">
        <v>0</v>
      </c>
      <c r="P9" s="847">
        <v>0</v>
      </c>
      <c r="Q9" s="847">
        <v>0</v>
      </c>
      <c r="R9" s="847">
        <f>'Roscoff '!B18</f>
        <v>28243</v>
      </c>
      <c r="S9" s="1916">
        <f>'Roscoff '!B50</f>
        <v>40381</v>
      </c>
      <c r="T9" s="847">
        <f>'Roscoff '!B90</f>
        <v>46107</v>
      </c>
      <c r="U9" s="847">
        <f>'Roscoff '!B126</f>
        <v>1790</v>
      </c>
      <c r="V9" s="847"/>
      <c r="W9" s="2138">
        <f>SUM(B9:V9)</f>
        <v>116521</v>
      </c>
    </row>
    <row r="10" spans="1:23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3"/>
      <c r="S10" s="132"/>
      <c r="T10" s="132"/>
      <c r="U10" s="132"/>
      <c r="V10" s="132"/>
      <c r="W10" s="913"/>
    </row>
    <row r="11" spans="1:23">
      <c r="A11" s="132" t="s">
        <v>4583</v>
      </c>
      <c r="B11" s="132"/>
      <c r="C11" s="132"/>
      <c r="D11" s="132"/>
      <c r="E11" s="132"/>
      <c r="F11" s="132"/>
      <c r="G11" s="132"/>
      <c r="H11" s="132"/>
      <c r="I11" s="132"/>
      <c r="J11" s="132"/>
      <c r="K11" s="132"/>
      <c r="L11" s="132">
        <f>L7/L2</f>
        <v>1197.25</v>
      </c>
      <c r="M11" s="132">
        <f>M7/M2</f>
        <v>1262.1515151515152</v>
      </c>
      <c r="N11" s="132">
        <f t="shared" ref="N11:T11" si="0">N7/N2</f>
        <v>1783.5715151515151</v>
      </c>
      <c r="O11" s="132">
        <f t="shared" si="0"/>
        <v>1379.7906451612903</v>
      </c>
      <c r="P11" s="132">
        <f t="shared" si="0"/>
        <v>1415.4347826086957</v>
      </c>
      <c r="Q11" s="132">
        <f t="shared" si="0"/>
        <v>1771.3125</v>
      </c>
      <c r="R11" s="132">
        <f t="shared" si="0"/>
        <v>2541.2666666666669</v>
      </c>
      <c r="S11" s="132">
        <f t="shared" si="0"/>
        <v>1726.9444444444443</v>
      </c>
      <c r="T11" s="132">
        <f t="shared" si="0"/>
        <v>1861.2857142857142</v>
      </c>
      <c r="U11" s="132">
        <f t="shared" ref="U11" si="1">U7/U2</f>
        <v>2113.0769230769229</v>
      </c>
      <c r="V11" s="132">
        <f>'Cleder '!C836</f>
        <v>2067</v>
      </c>
      <c r="W11" s="913"/>
    </row>
    <row r="12" spans="1:23">
      <c r="A12" s="132" t="s">
        <v>4584</v>
      </c>
      <c r="B12" s="132"/>
      <c r="C12" s="132"/>
      <c r="D12" s="132"/>
      <c r="E12" s="132"/>
      <c r="F12" s="132"/>
      <c r="G12" s="132"/>
      <c r="H12" s="132"/>
      <c r="I12" s="132"/>
      <c r="J12" s="132"/>
      <c r="K12" s="132"/>
      <c r="L12" s="132"/>
      <c r="M12" s="132">
        <f>M8/M3</f>
        <v>1367.2121212121212</v>
      </c>
      <c r="N12" s="132">
        <f t="shared" ref="N12:T12" si="2">N8/N3</f>
        <v>1726.5517241379309</v>
      </c>
      <c r="O12" s="132">
        <f t="shared" si="2"/>
        <v>1407.1361538461538</v>
      </c>
      <c r="P12" s="132">
        <f t="shared" si="2"/>
        <v>1462.1857142857143</v>
      </c>
      <c r="Q12" s="132">
        <f t="shared" si="2"/>
        <v>1593.7317808219177</v>
      </c>
      <c r="R12" s="132">
        <f t="shared" si="2"/>
        <v>1729.2394444444444</v>
      </c>
      <c r="S12" s="132">
        <f t="shared" si="2"/>
        <v>1700.7428571428572</v>
      </c>
      <c r="T12" s="132">
        <f t="shared" si="2"/>
        <v>1950.5625</v>
      </c>
      <c r="U12" s="132">
        <f t="shared" ref="U12" si="3">U8/U3</f>
        <v>1428.6153846153845</v>
      </c>
      <c r="V12" s="132"/>
      <c r="W12" s="913"/>
    </row>
    <row r="13" spans="1:23">
      <c r="A13" s="132" t="s">
        <v>4585</v>
      </c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>
        <f t="shared" ref="R13:T13" si="4">R9/R4</f>
        <v>1569.0555555555557</v>
      </c>
      <c r="S13" s="132">
        <f t="shared" si="4"/>
        <v>1922.9047619047619</v>
      </c>
      <c r="T13" s="132">
        <f t="shared" si="4"/>
        <v>2095.7727272727275</v>
      </c>
      <c r="U13" s="132">
        <f t="shared" ref="U13" si="5">U9/U4</f>
        <v>1790</v>
      </c>
      <c r="V13" s="132"/>
      <c r="W13" s="913"/>
    </row>
    <row r="14" spans="1:23">
      <c r="A14" s="132"/>
      <c r="B14" s="132"/>
      <c r="C14" s="132"/>
      <c r="D14" s="132"/>
      <c r="E14" s="132"/>
      <c r="F14" s="132"/>
      <c r="G14" s="132"/>
      <c r="H14" s="132"/>
      <c r="I14" s="132"/>
      <c r="J14" s="132"/>
      <c r="K14" s="132"/>
      <c r="L14" s="132"/>
      <c r="M14" s="132"/>
      <c r="N14" s="132"/>
      <c r="O14" s="132"/>
      <c r="P14" s="132"/>
      <c r="Q14" s="132"/>
      <c r="R14" s="132"/>
      <c r="S14" s="132"/>
      <c r="T14" s="132"/>
      <c r="U14" s="132"/>
      <c r="V14" s="132"/>
      <c r="W14" s="856"/>
    </row>
    <row r="15" spans="1:23">
      <c r="A15" s="133" t="s">
        <v>3828</v>
      </c>
      <c r="B15" s="132">
        <v>2008</v>
      </c>
      <c r="C15" s="132">
        <v>2009</v>
      </c>
      <c r="D15" s="132">
        <v>2010</v>
      </c>
      <c r="E15" s="132">
        <v>2011</v>
      </c>
      <c r="F15" s="132">
        <v>2012</v>
      </c>
      <c r="G15" s="132">
        <v>2013</v>
      </c>
      <c r="H15" s="132">
        <v>2014</v>
      </c>
      <c r="I15" s="132">
        <v>2015</v>
      </c>
      <c r="J15" s="132">
        <v>2016</v>
      </c>
      <c r="K15" s="132">
        <v>2017</v>
      </c>
      <c r="L15" s="132">
        <v>2018</v>
      </c>
      <c r="M15" s="133">
        <v>2019</v>
      </c>
      <c r="N15" s="133">
        <v>2020</v>
      </c>
      <c r="O15" s="133">
        <v>2021</v>
      </c>
      <c r="P15" s="133">
        <v>2022</v>
      </c>
      <c r="Q15" s="133">
        <v>2023</v>
      </c>
      <c r="R15" s="133">
        <v>2024</v>
      </c>
      <c r="S15" s="133">
        <v>2025</v>
      </c>
      <c r="T15" s="133">
        <v>2026</v>
      </c>
      <c r="U15" s="133">
        <v>2027</v>
      </c>
      <c r="V15" s="133"/>
      <c r="W15" s="856"/>
    </row>
    <row r="16" spans="1:23">
      <c r="A16" s="132" t="s">
        <v>991</v>
      </c>
      <c r="B16" s="132">
        <f t="shared" ref="B16:M16" si="6">B3+B2</f>
        <v>22</v>
      </c>
      <c r="C16" s="132">
        <f t="shared" si="6"/>
        <v>23</v>
      </c>
      <c r="D16" s="132">
        <f t="shared" si="6"/>
        <v>23</v>
      </c>
      <c r="E16" s="132">
        <f t="shared" si="6"/>
        <v>25</v>
      </c>
      <c r="F16" s="132">
        <f t="shared" si="6"/>
        <v>30</v>
      </c>
      <c r="G16" s="132">
        <f t="shared" si="6"/>
        <v>27</v>
      </c>
      <c r="H16" s="132">
        <f t="shared" si="6"/>
        <v>25</v>
      </c>
      <c r="I16" s="132">
        <f t="shared" si="6"/>
        <v>31.5</v>
      </c>
      <c r="J16" s="132">
        <f t="shared" si="6"/>
        <v>26</v>
      </c>
      <c r="K16" s="132">
        <f t="shared" si="6"/>
        <v>30</v>
      </c>
      <c r="L16" s="132">
        <f t="shared" si="6"/>
        <v>32</v>
      </c>
      <c r="M16" s="132">
        <f t="shared" si="6"/>
        <v>49.5</v>
      </c>
      <c r="N16" s="685">
        <f>N2+N3</f>
        <v>31</v>
      </c>
      <c r="O16" s="685">
        <f>O2+O3</f>
        <v>57</v>
      </c>
      <c r="P16" s="685">
        <f>P2+P3</f>
        <v>69.5</v>
      </c>
      <c r="Q16" s="685">
        <f>Q2+Q3</f>
        <v>68.5</v>
      </c>
      <c r="R16" s="685">
        <f>R2+R3+R4</f>
        <v>84</v>
      </c>
      <c r="S16" s="685">
        <f>S2+S3+S4</f>
        <v>92</v>
      </c>
      <c r="T16" s="685">
        <f>T2+T3+T4</f>
        <v>89</v>
      </c>
      <c r="U16" s="685">
        <f>U2+U3+U4</f>
        <v>20.5</v>
      </c>
      <c r="V16" s="685">
        <f>V2+V3+V4</f>
        <v>2</v>
      </c>
      <c r="W16" s="856"/>
    </row>
    <row r="17" spans="1:25">
      <c r="A17" s="132" t="s">
        <v>5031</v>
      </c>
      <c r="B17" s="132">
        <f>B18/B16</f>
        <v>1121.8181818181818</v>
      </c>
      <c r="C17" s="132">
        <f t="shared" ref="C17:V17" si="7">C18/C16</f>
        <v>1132.6521739130435</v>
      </c>
      <c r="D17" s="132">
        <f t="shared" si="7"/>
        <v>1144.2173913043478</v>
      </c>
      <c r="E17" s="132">
        <f t="shared" si="7"/>
        <v>1116.3599999999999</v>
      </c>
      <c r="F17" s="132">
        <f t="shared" si="7"/>
        <v>1142.6166666666666</v>
      </c>
      <c r="G17" s="132">
        <f t="shared" si="7"/>
        <v>1094.5925925925926</v>
      </c>
      <c r="H17" s="132">
        <f t="shared" si="7"/>
        <v>1151</v>
      </c>
      <c r="I17" s="132">
        <f t="shared" si="7"/>
        <v>1051.2380952380952</v>
      </c>
      <c r="J17" s="132">
        <f t="shared" si="7"/>
        <v>1255.8017558528429</v>
      </c>
      <c r="K17" s="132">
        <f t="shared" si="7"/>
        <v>1216.6833333333334</v>
      </c>
      <c r="L17" s="132">
        <f t="shared" si="7"/>
        <v>1197.25</v>
      </c>
      <c r="M17" s="132">
        <f t="shared" si="7"/>
        <v>1297.1717171717171</v>
      </c>
      <c r="N17" s="132">
        <f t="shared" si="7"/>
        <v>1756.9009677419356</v>
      </c>
      <c r="O17" s="132">
        <f t="shared" si="7"/>
        <v>1392.2640350877193</v>
      </c>
      <c r="P17" s="132">
        <f t="shared" si="7"/>
        <v>1438.9784172661871</v>
      </c>
      <c r="Q17" s="132">
        <f t="shared" si="7"/>
        <v>1676.6891970802919</v>
      </c>
      <c r="R17" s="132">
        <f>R19/R16</f>
        <v>1770.6383333333333</v>
      </c>
      <c r="S17" s="132">
        <f t="shared" si="7"/>
        <v>1761.7065217391305</v>
      </c>
      <c r="T17" s="132">
        <f t="shared" si="7"/>
        <v>1951.3483146067415</v>
      </c>
      <c r="U17" s="132">
        <f t="shared" si="7"/>
        <v>1880.2926829268292</v>
      </c>
      <c r="V17" s="132">
        <f t="shared" si="7"/>
        <v>2067</v>
      </c>
      <c r="W17" s="856"/>
    </row>
    <row r="18" spans="1:25" s="371" customFormat="1" ht="13.2">
      <c r="A18" s="1227" t="s">
        <v>418</v>
      </c>
      <c r="B18" s="1227">
        <f t="shared" ref="B18:M18" si="8">B8+B7</f>
        <v>24680</v>
      </c>
      <c r="C18" s="1227">
        <f t="shared" si="8"/>
        <v>26051</v>
      </c>
      <c r="D18" s="1227">
        <f t="shared" si="8"/>
        <v>26317</v>
      </c>
      <c r="E18" s="1227">
        <f t="shared" si="8"/>
        <v>27909</v>
      </c>
      <c r="F18" s="1227">
        <f t="shared" si="8"/>
        <v>34278.5</v>
      </c>
      <c r="G18" s="1227">
        <f t="shared" si="8"/>
        <v>29554</v>
      </c>
      <c r="H18" s="98">
        <f t="shared" si="8"/>
        <v>28775</v>
      </c>
      <c r="I18" s="98">
        <f t="shared" si="8"/>
        <v>33114</v>
      </c>
      <c r="J18" s="98">
        <f t="shared" si="8"/>
        <v>32650.845652173914</v>
      </c>
      <c r="K18" s="98">
        <f t="shared" si="8"/>
        <v>36500.5</v>
      </c>
      <c r="L18" s="98">
        <f t="shared" si="8"/>
        <v>38312</v>
      </c>
      <c r="M18" s="98">
        <f t="shared" si="8"/>
        <v>64210</v>
      </c>
      <c r="N18" s="98">
        <f>N7+N8</f>
        <v>54463.93</v>
      </c>
      <c r="O18" s="98">
        <f>O7+O8</f>
        <v>79359.05</v>
      </c>
      <c r="P18" s="98">
        <f>P7+P8</f>
        <v>100009</v>
      </c>
      <c r="Q18" s="98">
        <f>Q7+Q8</f>
        <v>114853.20999999999</v>
      </c>
      <c r="R18" s="98">
        <f t="shared" ref="R18:W18" si="9">R7+R8+R9</f>
        <v>166733.62</v>
      </c>
      <c r="S18" s="98">
        <f t="shared" si="9"/>
        <v>162077</v>
      </c>
      <c r="T18" s="2120">
        <f t="shared" si="9"/>
        <v>173670</v>
      </c>
      <c r="U18" s="2121">
        <f t="shared" si="9"/>
        <v>38546</v>
      </c>
      <c r="V18" s="2121">
        <f t="shared" si="9"/>
        <v>4134</v>
      </c>
      <c r="W18" s="2042">
        <f t="shared" si="9"/>
        <v>1296197.6556521738</v>
      </c>
      <c r="X18" s="2043"/>
      <c r="Y18" s="2044"/>
    </row>
    <row r="19" spans="1:25">
      <c r="A19" s="132"/>
      <c r="B19" s="132"/>
      <c r="C19" s="132"/>
      <c r="D19" s="132"/>
      <c r="E19" s="132"/>
      <c r="F19" s="132"/>
      <c r="G19" s="132"/>
      <c r="H19" s="132"/>
      <c r="I19" s="132"/>
      <c r="J19" s="132"/>
      <c r="K19" s="132"/>
      <c r="L19" s="132"/>
      <c r="M19" s="133"/>
      <c r="N19" s="133"/>
      <c r="O19" s="133"/>
      <c r="P19" s="133"/>
      <c r="Q19" s="133"/>
      <c r="R19" s="857">
        <f>R18-18000</f>
        <v>148733.62</v>
      </c>
      <c r="S19" s="133"/>
      <c r="T19" s="133"/>
      <c r="U19" s="133"/>
      <c r="V19" s="133"/>
      <c r="W19" s="913"/>
      <c r="X19" s="826"/>
      <c r="Y19" s="1923"/>
    </row>
    <row r="20" spans="1:25">
      <c r="A20" s="132"/>
      <c r="B20" s="132"/>
      <c r="C20" s="132"/>
      <c r="D20" s="132"/>
      <c r="E20" s="132"/>
      <c r="F20" s="132"/>
      <c r="G20" s="132"/>
      <c r="H20" s="132"/>
      <c r="I20" s="132"/>
      <c r="J20" s="132"/>
      <c r="K20" s="132"/>
      <c r="L20" s="132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913"/>
      <c r="X20" s="826"/>
      <c r="Y20" s="1923"/>
    </row>
    <row r="21" spans="1:25" ht="12.6" customHeight="1">
      <c r="A21" s="132" t="s">
        <v>4361</v>
      </c>
      <c r="E21" s="132">
        <f t="shared" ref="E21:S21" si="10">E18/365</f>
        <v>76.463013698630135</v>
      </c>
      <c r="F21" s="132">
        <f t="shared" si="10"/>
        <v>93.913698630136992</v>
      </c>
      <c r="G21" s="132">
        <f t="shared" si="10"/>
        <v>80.969863013698628</v>
      </c>
      <c r="H21" s="132">
        <f t="shared" si="10"/>
        <v>78.835616438356169</v>
      </c>
      <c r="I21" s="132">
        <f t="shared" si="10"/>
        <v>90.723287671232882</v>
      </c>
      <c r="J21" s="132">
        <f t="shared" si="10"/>
        <v>89.45437164979154</v>
      </c>
      <c r="K21" s="132">
        <f t="shared" si="10"/>
        <v>100.00136986301369</v>
      </c>
      <c r="L21" s="132">
        <f t="shared" si="10"/>
        <v>104.96438356164384</v>
      </c>
      <c r="M21" s="132">
        <f t="shared" si="10"/>
        <v>175.91780821917808</v>
      </c>
      <c r="N21" s="132">
        <f t="shared" si="10"/>
        <v>149.21624657534247</v>
      </c>
      <c r="O21" s="132">
        <f t="shared" si="10"/>
        <v>217.42205479452056</v>
      </c>
      <c r="P21" s="132">
        <f t="shared" si="10"/>
        <v>273.99726027397259</v>
      </c>
      <c r="Q21" s="132">
        <f t="shared" si="10"/>
        <v>314.66632876712328</v>
      </c>
      <c r="R21" s="132">
        <f t="shared" si="10"/>
        <v>456.80443835616438</v>
      </c>
      <c r="S21" s="132">
        <f t="shared" si="10"/>
        <v>444.04657534246576</v>
      </c>
      <c r="T21" s="857">
        <f>T18/365</f>
        <v>475.8082191780822</v>
      </c>
      <c r="U21" s="857">
        <f>U18/365</f>
        <v>105.60547945205479</v>
      </c>
      <c r="V21" s="857">
        <f t="shared" ref="V21:V23" si="11">V18/365</f>
        <v>11.326027397260274</v>
      </c>
      <c r="Y21" s="1924"/>
    </row>
    <row r="22" spans="1:25" ht="12.6" customHeight="1">
      <c r="A22" s="132" t="s">
        <v>4362</v>
      </c>
      <c r="E22" s="132">
        <f t="shared" ref="E22:S22" si="12">E18/52</f>
        <v>536.71153846153845</v>
      </c>
      <c r="F22" s="132">
        <f t="shared" si="12"/>
        <v>659.20192307692309</v>
      </c>
      <c r="G22" s="132">
        <f t="shared" si="12"/>
        <v>568.34615384615381</v>
      </c>
      <c r="H22" s="132">
        <f t="shared" si="12"/>
        <v>553.36538461538464</v>
      </c>
      <c r="I22" s="132">
        <f t="shared" si="12"/>
        <v>636.80769230769226</v>
      </c>
      <c r="J22" s="132">
        <f t="shared" si="12"/>
        <v>627.90087792642146</v>
      </c>
      <c r="K22" s="132">
        <f t="shared" si="12"/>
        <v>701.93269230769226</v>
      </c>
      <c r="L22" s="132">
        <f t="shared" si="12"/>
        <v>736.76923076923072</v>
      </c>
      <c r="M22" s="132">
        <f t="shared" si="12"/>
        <v>1234.8076923076924</v>
      </c>
      <c r="N22" s="132">
        <f t="shared" si="12"/>
        <v>1047.3832692307692</v>
      </c>
      <c r="O22" s="132">
        <f t="shared" si="12"/>
        <v>1526.135576923077</v>
      </c>
      <c r="P22" s="132">
        <f t="shared" si="12"/>
        <v>1923.25</v>
      </c>
      <c r="Q22" s="132">
        <f t="shared" si="12"/>
        <v>2208.7155769230767</v>
      </c>
      <c r="R22" s="132">
        <f t="shared" si="12"/>
        <v>3206.415769230769</v>
      </c>
      <c r="S22" s="132">
        <f t="shared" si="12"/>
        <v>3116.8653846153848</v>
      </c>
      <c r="T22" s="132">
        <f>T18/52</f>
        <v>3339.8076923076924</v>
      </c>
      <c r="U22" s="857">
        <f>U18/52</f>
        <v>741.26923076923072</v>
      </c>
      <c r="V22" s="857">
        <f t="shared" si="11"/>
        <v>0</v>
      </c>
      <c r="Y22" s="1924"/>
    </row>
    <row r="23" spans="1:25" ht="12.6" customHeight="1">
      <c r="A23" s="132" t="s">
        <v>4743</v>
      </c>
      <c r="E23" s="132">
        <f t="shared" ref="E23:S23" si="13">E18/12</f>
        <v>2325.75</v>
      </c>
      <c r="F23" s="132">
        <f t="shared" si="13"/>
        <v>2856.5416666666665</v>
      </c>
      <c r="G23" s="132">
        <f t="shared" si="13"/>
        <v>2462.8333333333335</v>
      </c>
      <c r="H23" s="132">
        <f t="shared" si="13"/>
        <v>2397.9166666666665</v>
      </c>
      <c r="I23" s="132">
        <f t="shared" si="13"/>
        <v>2759.5</v>
      </c>
      <c r="J23" s="132">
        <f t="shared" si="13"/>
        <v>2720.9038043478263</v>
      </c>
      <c r="K23" s="132">
        <f t="shared" si="13"/>
        <v>3041.7083333333335</v>
      </c>
      <c r="L23" s="132">
        <f t="shared" si="13"/>
        <v>3192.6666666666665</v>
      </c>
      <c r="M23" s="132">
        <f t="shared" si="13"/>
        <v>5350.833333333333</v>
      </c>
      <c r="N23" s="132">
        <f t="shared" si="13"/>
        <v>4538.6608333333334</v>
      </c>
      <c r="O23" s="132">
        <f t="shared" si="13"/>
        <v>6613.2541666666666</v>
      </c>
      <c r="P23" s="132">
        <f t="shared" si="13"/>
        <v>8334.0833333333339</v>
      </c>
      <c r="Q23" s="132">
        <f t="shared" si="13"/>
        <v>9571.100833333332</v>
      </c>
      <c r="R23" s="132">
        <f t="shared" si="13"/>
        <v>13894.468333333332</v>
      </c>
      <c r="S23" s="132">
        <f t="shared" si="13"/>
        <v>13506.416666666666</v>
      </c>
      <c r="T23" s="857">
        <f>T18/12</f>
        <v>14472.5</v>
      </c>
      <c r="U23" s="857">
        <f>U18/12</f>
        <v>3212.1666666666665</v>
      </c>
      <c r="V23" s="857">
        <f t="shared" si="11"/>
        <v>0</v>
      </c>
      <c r="Y23" s="1924"/>
    </row>
    <row r="24" spans="1:25" ht="12.6" customHeight="1">
      <c r="A24" s="132" t="s">
        <v>4364</v>
      </c>
      <c r="E24" s="1967">
        <f t="shared" ref="E24:K24" si="14">(E18/D18)-1</f>
        <v>6.0493217312003633E-2</v>
      </c>
      <c r="F24" s="1967">
        <f t="shared" si="14"/>
        <v>0.22822387043605996</v>
      </c>
      <c r="G24" s="1968">
        <f t="shared" si="14"/>
        <v>-0.13782691774727596</v>
      </c>
      <c r="H24" s="1968">
        <f t="shared" si="14"/>
        <v>-2.635853014820333E-2</v>
      </c>
      <c r="I24" s="1967">
        <f t="shared" si="14"/>
        <v>0.15079061685490869</v>
      </c>
      <c r="J24" s="1968">
        <f t="shared" si="14"/>
        <v>-1.3986662675185335E-2</v>
      </c>
      <c r="K24" s="1967">
        <f t="shared" si="14"/>
        <v>0.11790366439007594</v>
      </c>
      <c r="L24" s="1967">
        <f>(L18/K18)-1</f>
        <v>4.9629457130724308E-2</v>
      </c>
      <c r="M24" s="1967">
        <f t="shared" ref="M24:V24" si="15">(M18/L18)-1</f>
        <v>0.67597619544790155</v>
      </c>
      <c r="N24" s="1968">
        <f t="shared" si="15"/>
        <v>-0.15178430151066813</v>
      </c>
      <c r="O24" s="1967">
        <f t="shared" si="15"/>
        <v>0.45709371321533365</v>
      </c>
      <c r="P24" s="1967">
        <f t="shared" si="15"/>
        <v>0.26020913808822055</v>
      </c>
      <c r="Q24" s="1967">
        <f t="shared" si="15"/>
        <v>0.14842874141327278</v>
      </c>
      <c r="R24" s="1967">
        <f>(R19/Q18)-1</f>
        <v>0.29498879482776319</v>
      </c>
      <c r="S24" s="1967">
        <f>(S18/R19)-1</f>
        <v>8.9713273972622964E-2</v>
      </c>
      <c r="T24" s="1967">
        <f t="shared" si="15"/>
        <v>7.1527730646544496E-2</v>
      </c>
      <c r="U24" s="1968">
        <f t="shared" si="15"/>
        <v>-0.77805032532964824</v>
      </c>
      <c r="V24" s="1968">
        <f t="shared" si="15"/>
        <v>-0.89275151766720284</v>
      </c>
      <c r="Y24" s="1924"/>
    </row>
    <row r="25" spans="1:25" ht="12.6" customHeight="1">
      <c r="A25" s="132" t="s">
        <v>5126</v>
      </c>
      <c r="K25" s="826">
        <f t="shared" ref="K25:T25" si="16">K18/J18</f>
        <v>1.1179036643900759</v>
      </c>
      <c r="L25" s="826">
        <f t="shared" si="16"/>
        <v>1.0496294571307243</v>
      </c>
      <c r="M25" s="826">
        <f t="shared" si="16"/>
        <v>1.6759761954479016</v>
      </c>
      <c r="N25" s="826">
        <f t="shared" si="16"/>
        <v>0.84821569848933187</v>
      </c>
      <c r="O25" s="826">
        <f t="shared" si="16"/>
        <v>1.4570937132153337</v>
      </c>
      <c r="P25" s="826">
        <f t="shared" si="16"/>
        <v>1.2602091380882205</v>
      </c>
      <c r="Q25" s="826">
        <f t="shared" si="16"/>
        <v>1.1484287414132728</v>
      </c>
      <c r="R25" s="826">
        <f t="shared" si="16"/>
        <v>1.451710579094829</v>
      </c>
      <c r="S25" s="826">
        <f t="shared" si="16"/>
        <v>0.97207149943724613</v>
      </c>
      <c r="T25" s="826">
        <f t="shared" si="16"/>
        <v>1.0715277306465445</v>
      </c>
      <c r="U25" s="826">
        <f>U18/T18</f>
        <v>0.22194967467035182</v>
      </c>
      <c r="V25" s="826">
        <f>V18/U18</f>
        <v>0.10724848233279717</v>
      </c>
      <c r="Y25" s="1924"/>
    </row>
    <row r="26" spans="1:25" ht="12.6" customHeight="1">
      <c r="A26" s="133" t="s">
        <v>4363</v>
      </c>
      <c r="R26" s="8"/>
      <c r="S26" s="8"/>
      <c r="T26" s="8"/>
      <c r="U26" s="8"/>
      <c r="V26" s="8"/>
    </row>
    <row r="27" spans="1:25">
      <c r="A27" s="132" t="s">
        <v>3250</v>
      </c>
      <c r="Q27" s="132">
        <f>'Cleder '!E653</f>
        <v>11114.19</v>
      </c>
      <c r="R27" s="132">
        <f>R18/12</f>
        <v>13894.468333333332</v>
      </c>
      <c r="S27" s="132">
        <f>S18/12</f>
        <v>13506.416666666666</v>
      </c>
    </row>
    <row r="28" spans="1:25">
      <c r="A28" s="8" t="s">
        <v>3251</v>
      </c>
      <c r="Q28" s="132">
        <f>'Plouescat '!E158</f>
        <v>10127.06</v>
      </c>
      <c r="R28" s="132">
        <v>10000</v>
      </c>
      <c r="S28" s="132">
        <v>10000</v>
      </c>
    </row>
    <row r="29" spans="1:25">
      <c r="A29" s="8" t="s">
        <v>4034</v>
      </c>
      <c r="Q29" s="132"/>
      <c r="R29" s="132">
        <v>30000</v>
      </c>
      <c r="S29" s="132">
        <v>15000</v>
      </c>
    </row>
    <row r="31" spans="1:25">
      <c r="A31" s="7" t="s">
        <v>3781</v>
      </c>
      <c r="M31" s="2081">
        <f t="shared" ref="M31:P31" si="17">(1788.54+225.66)*12</f>
        <v>24170.400000000001</v>
      </c>
      <c r="N31" s="2081">
        <f t="shared" si="17"/>
        <v>24170.400000000001</v>
      </c>
      <c r="O31" s="2081">
        <f t="shared" si="17"/>
        <v>24170.400000000001</v>
      </c>
      <c r="P31" s="2081">
        <f t="shared" si="17"/>
        <v>24170.400000000001</v>
      </c>
      <c r="Q31" s="2081">
        <f>(1788.54+225.66)*12</f>
        <v>24170.400000000001</v>
      </c>
      <c r="R31" s="2081">
        <f>(1788.54+225.66)*12</f>
        <v>24170.400000000001</v>
      </c>
      <c r="S31" s="2081">
        <f>(1788.54+225.66)*12</f>
        <v>24170.400000000001</v>
      </c>
      <c r="T31" s="1583"/>
      <c r="U31" s="1583"/>
      <c r="V31" s="1583"/>
    </row>
    <row r="32" spans="1:25">
      <c r="A32" s="7" t="s">
        <v>3830</v>
      </c>
      <c r="M32" s="2081"/>
      <c r="N32" s="2081"/>
      <c r="O32" s="2081"/>
      <c r="P32" s="2081"/>
      <c r="Q32" s="2081"/>
      <c r="R32" s="2081">
        <f>S32*8/12</f>
        <v>15628.72</v>
      </c>
      <c r="S32" s="2081">
        <f>(870.2+994.02)*12+(21.37+23.31+21.35+23.34)*12</f>
        <v>23443.079999999998</v>
      </c>
      <c r="T32" s="1583"/>
      <c r="U32" s="1583"/>
      <c r="V32" s="1583"/>
    </row>
    <row r="33" spans="1:22">
      <c r="A33" s="1595" t="s">
        <v>3797</v>
      </c>
      <c r="M33" s="132"/>
      <c r="N33" s="132"/>
      <c r="O33" s="132"/>
      <c r="P33" s="132"/>
      <c r="Q33" s="133"/>
      <c r="R33" s="132"/>
      <c r="S33" s="132"/>
    </row>
    <row r="34" spans="1:22">
      <c r="M34" s="132"/>
      <c r="N34" s="132"/>
      <c r="O34" s="132"/>
      <c r="P34" s="132"/>
      <c r="Q34" s="2082">
        <f>Q18-Q27-Q28-Q31</f>
        <v>69441.56</v>
      </c>
      <c r="R34" s="2082">
        <f>R18-R27-R28-R31-R32-R29</f>
        <v>73040.031666666677</v>
      </c>
      <c r="S34" s="2082">
        <f>S18-S27-S28-S31-S32-S29</f>
        <v>75957.103333333347</v>
      </c>
      <c r="T34" s="1594"/>
      <c r="U34" s="1594"/>
      <c r="V34" s="1594"/>
    </row>
    <row r="35" spans="1:22">
      <c r="A35" s="8" t="s">
        <v>996</v>
      </c>
      <c r="B35" s="8" t="s">
        <v>999</v>
      </c>
      <c r="C35" s="8" t="s">
        <v>1000</v>
      </c>
      <c r="G35" s="8" t="s">
        <v>1142</v>
      </c>
    </row>
    <row r="36" spans="1:22">
      <c r="A36" s="8" t="s">
        <v>997</v>
      </c>
      <c r="B36" s="8" t="s">
        <v>998</v>
      </c>
      <c r="C36" s="134" t="s">
        <v>1001</v>
      </c>
    </row>
    <row r="37" spans="1:22">
      <c r="N37" s="921" t="s">
        <v>4867</v>
      </c>
      <c r="O37" s="2115">
        <f>Q18</f>
        <v>114853.20999999999</v>
      </c>
    </row>
    <row r="38" spans="1:22">
      <c r="N38" s="2114" t="s">
        <v>4868</v>
      </c>
      <c r="O38" s="2116">
        <f>R18</f>
        <v>166733.62</v>
      </c>
      <c r="P38" s="826">
        <f>O38/O37</f>
        <v>1.451710579094829</v>
      </c>
    </row>
    <row r="39" spans="1:22">
      <c r="A39" s="49"/>
      <c r="N39" s="1492" t="s">
        <v>4422</v>
      </c>
      <c r="O39" s="2117">
        <f>S18</f>
        <v>162077</v>
      </c>
      <c r="P39" s="826">
        <f>O39/O38</f>
        <v>0.97207149943724613</v>
      </c>
    </row>
    <row r="40" spans="1:22">
      <c r="N40" s="2118" t="s">
        <v>4869</v>
      </c>
      <c r="O40" s="2119">
        <f>T18</f>
        <v>173670</v>
      </c>
      <c r="P40" s="826">
        <f>O40/O39</f>
        <v>1.0715277306465445</v>
      </c>
    </row>
    <row r="45" spans="1:22">
      <c r="A45" s="49" t="s">
        <v>4122</v>
      </c>
    </row>
    <row r="50" spans="1:16">
      <c r="A50" s="7" t="s">
        <v>1555</v>
      </c>
    </row>
    <row r="51" spans="1:16" ht="13.2">
      <c r="A51" s="123" t="s">
        <v>1552</v>
      </c>
    </row>
    <row r="52" spans="1:16">
      <c r="A52" s="135" t="s">
        <v>1553</v>
      </c>
    </row>
    <row r="53" spans="1:16">
      <c r="A53" s="135" t="s">
        <v>5128</v>
      </c>
    </row>
    <row r="55" spans="1:16" ht="13.2">
      <c r="A55" s="8" t="s">
        <v>2477</v>
      </c>
      <c r="B55" s="2" t="s">
        <v>1900</v>
      </c>
      <c r="C55" s="8" t="s">
        <v>2478</v>
      </c>
    </row>
    <row r="56" spans="1:16">
      <c r="A56" s="8" t="s">
        <v>2479</v>
      </c>
      <c r="B56" s="8">
        <v>1596657704390</v>
      </c>
      <c r="C56" s="8" t="s">
        <v>1970</v>
      </c>
    </row>
    <row r="59" spans="1:16">
      <c r="A59" s="8" t="s">
        <v>1630</v>
      </c>
      <c r="B59" s="49" t="s">
        <v>1631</v>
      </c>
      <c r="D59" s="8" t="s">
        <v>1632</v>
      </c>
    </row>
    <row r="61" spans="1:16">
      <c r="P61" s="439">
        <f>200/655</f>
        <v>0.30534351145038169</v>
      </c>
    </row>
    <row r="62" spans="1:16">
      <c r="A62" s="8" t="s">
        <v>791</v>
      </c>
      <c r="B62" s="8" t="s">
        <v>1811</v>
      </c>
      <c r="C62" s="8" t="s">
        <v>1131</v>
      </c>
    </row>
    <row r="63" spans="1:16">
      <c r="A63" s="8" t="s">
        <v>1592</v>
      </c>
      <c r="B63" s="457">
        <v>1712717</v>
      </c>
      <c r="C63" s="8" t="s">
        <v>2636</v>
      </c>
    </row>
    <row r="64" spans="1:16">
      <c r="A64" s="8" t="s">
        <v>1812</v>
      </c>
    </row>
    <row r="65" spans="1:13">
      <c r="A65" s="8" t="s">
        <v>1813</v>
      </c>
    </row>
    <row r="66" spans="1:13">
      <c r="A66" s="8" t="s">
        <v>1477</v>
      </c>
      <c r="B66" s="8" t="s">
        <v>1814</v>
      </c>
    </row>
    <row r="69" spans="1:13" ht="13.2">
      <c r="A69" s="8" t="s">
        <v>2178</v>
      </c>
      <c r="B69" s="2" t="s">
        <v>1900</v>
      </c>
      <c r="C69" s="8" t="s">
        <v>2200</v>
      </c>
    </row>
    <row r="70" spans="1:13" ht="13.2">
      <c r="A70" s="8" t="s">
        <v>2526</v>
      </c>
      <c r="B70" s="2" t="s">
        <v>1900</v>
      </c>
      <c r="C70" s="8" t="s">
        <v>2478</v>
      </c>
    </row>
    <row r="71" spans="1:13" ht="13.2">
      <c r="A71" s="8" t="s">
        <v>2525</v>
      </c>
      <c r="B71" s="2" t="s">
        <v>1934</v>
      </c>
      <c r="C71" s="8" t="s">
        <v>1632</v>
      </c>
      <c r="D71" s="687" t="s">
        <v>2527</v>
      </c>
    </row>
    <row r="72" spans="1:13" ht="10.8" thickBot="1"/>
    <row r="73" spans="1:13">
      <c r="A73" s="1951" t="s">
        <v>4254</v>
      </c>
      <c r="B73" s="1953"/>
      <c r="C73" s="1953"/>
      <c r="D73" s="1953"/>
      <c r="E73" s="1953"/>
      <c r="F73" s="1953"/>
      <c r="G73" s="1953"/>
      <c r="H73" s="1953"/>
      <c r="I73" s="1953"/>
      <c r="J73" s="1953"/>
      <c r="K73" s="1953" t="s">
        <v>4255</v>
      </c>
      <c r="L73" s="1954" t="s">
        <v>4256</v>
      </c>
      <c r="M73" s="1955" t="s">
        <v>1900</v>
      </c>
    </row>
    <row r="74" spans="1:13" ht="10.8" thickBot="1">
      <c r="A74" s="1956" t="s">
        <v>4258</v>
      </c>
      <c r="B74" s="1957"/>
      <c r="C74" s="1957"/>
      <c r="D74" s="1957"/>
      <c r="E74" s="1957"/>
      <c r="F74" s="1957"/>
      <c r="G74" s="1957"/>
      <c r="H74" s="1957"/>
      <c r="I74" s="1957"/>
      <c r="J74" s="1957"/>
      <c r="K74" s="1957" t="s">
        <v>4257</v>
      </c>
      <c r="L74" s="1958">
        <v>539</v>
      </c>
      <c r="M74" s="1959" t="s">
        <v>4259</v>
      </c>
    </row>
    <row r="75" spans="1:13">
      <c r="A75" s="1960"/>
      <c r="B75" s="1960"/>
      <c r="C75" s="1960"/>
      <c r="D75" s="1960"/>
      <c r="E75" s="1960"/>
      <c r="F75" s="1960"/>
      <c r="G75" s="1960"/>
      <c r="H75" s="1960"/>
      <c r="I75" s="1960"/>
      <c r="J75" s="1960"/>
      <c r="K75" s="1960"/>
      <c r="L75" s="1960"/>
      <c r="M75" s="1959"/>
    </row>
    <row r="76" spans="1:13" ht="13.2">
      <c r="A76" s="1960" t="s">
        <v>4260</v>
      </c>
      <c r="B76" s="1960"/>
      <c r="C76" s="1960"/>
      <c r="D76" s="1960"/>
      <c r="E76" s="1960"/>
      <c r="F76" s="1960"/>
      <c r="G76" s="1960"/>
      <c r="H76" s="1960"/>
      <c r="I76" s="1960"/>
      <c r="J76" s="1960"/>
      <c r="K76" s="1960"/>
      <c r="L76" s="1952" t="s">
        <v>4261</v>
      </c>
      <c r="M76" s="382" t="s">
        <v>1934</v>
      </c>
    </row>
  </sheetData>
  <phoneticPr fontId="23" type="noConversion"/>
  <hyperlinks>
    <hyperlink ref="A51" r:id="rId1" xr:uid="{00000000-0004-0000-0000-000002000000}"/>
    <hyperlink ref="B59" r:id="rId2" xr:uid="{00000000-0004-0000-0000-000003000000}"/>
    <hyperlink ref="B69" r:id="rId3" xr:uid="{A6FF36A6-99BD-4399-9F4C-1FD5404ED02E}"/>
    <hyperlink ref="B55" r:id="rId4" xr:uid="{1492F5E7-B4BD-4BA7-87FD-117C3FD93078}"/>
    <hyperlink ref="B71" r:id="rId5" xr:uid="{8FE8E182-760C-4408-8435-168EAC6FDA07}"/>
    <hyperlink ref="B70" r:id="rId6" xr:uid="{9A5ED43C-F9E0-4909-81E0-4ADC00BFFF8C}"/>
    <hyperlink ref="M73" r:id="rId7" xr:uid="{278E971B-1C45-4CA6-99E4-BB60080F1C79}"/>
    <hyperlink ref="M76" r:id="rId8" xr:uid="{BF0CA302-AEF3-4074-83BC-B8B22B1C0907}"/>
  </hyperlinks>
  <pageMargins left="0.78740157499999996" right="0.78740157499999996" top="0.984251969" bottom="0.984251969" header="0.4921259845" footer="0.4921259845"/>
  <pageSetup paperSize="9" orientation="portrait" r:id="rId9"/>
  <headerFooter alignWithMargins="0"/>
  <drawing r:id="rId1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68F6B-E319-46E1-B32E-0ADEF9571950}">
  <dimension ref="A1:M74"/>
  <sheetViews>
    <sheetView topLeftCell="A28" zoomScale="66" zoomScaleNormal="66" workbookViewId="0">
      <selection activeCell="D51" sqref="D51"/>
    </sheetView>
  </sheetViews>
  <sheetFormatPr baseColWidth="10" defaultRowHeight="13.2"/>
  <cols>
    <col min="1" max="1" width="30.6640625" bestFit="1" customWidth="1"/>
    <col min="2" max="2" width="15.6640625" style="92" customWidth="1"/>
    <col min="3" max="3" width="16.109375" bestFit="1" customWidth="1"/>
    <col min="4" max="7" width="13.33203125" style="92" customWidth="1"/>
    <col min="8" max="8" width="13.33203125" style="1228" customWidth="1"/>
    <col min="9" max="9" width="13.33203125" style="92" customWidth="1"/>
    <col min="10" max="10" width="19.88671875" style="92" bestFit="1" customWidth="1"/>
    <col min="11" max="11" width="16.44140625" style="92" bestFit="1" customWidth="1"/>
    <col min="12" max="12" width="19.5546875" style="92" bestFit="1" customWidth="1"/>
  </cols>
  <sheetData>
    <row r="1" spans="1:13">
      <c r="A1" s="371" t="s">
        <v>3361</v>
      </c>
    </row>
    <row r="2" spans="1:13">
      <c r="A2" s="371" t="s">
        <v>3362</v>
      </c>
      <c r="B2" s="92">
        <v>3941</v>
      </c>
    </row>
    <row r="3" spans="1:13">
      <c r="A3" s="371" t="s">
        <v>3364</v>
      </c>
      <c r="B3" s="92">
        <v>33068</v>
      </c>
      <c r="I3" s="1227"/>
    </row>
    <row r="4" spans="1:13">
      <c r="A4" s="371" t="s">
        <v>3363</v>
      </c>
      <c r="B4" s="92">
        <v>24862</v>
      </c>
      <c r="I4" s="1227">
        <v>2019</v>
      </c>
      <c r="J4" s="92">
        <v>2020</v>
      </c>
      <c r="K4" s="92">
        <v>2021</v>
      </c>
      <c r="L4" s="92">
        <v>2022</v>
      </c>
      <c r="M4" s="92">
        <v>2023</v>
      </c>
    </row>
    <row r="5" spans="1:13">
      <c r="H5" s="1230">
        <v>43466</v>
      </c>
      <c r="I5" s="1227"/>
    </row>
    <row r="6" spans="1:13">
      <c r="H6" s="1231">
        <v>43497</v>
      </c>
      <c r="I6" s="1227"/>
    </row>
    <row r="7" spans="1:13">
      <c r="A7" s="371" t="s">
        <v>3365</v>
      </c>
      <c r="B7" s="92">
        <v>107279</v>
      </c>
      <c r="C7" s="371" t="s">
        <v>3369</v>
      </c>
      <c r="D7" s="92">
        <v>40060</v>
      </c>
      <c r="H7" s="1230">
        <v>43525</v>
      </c>
      <c r="I7" s="1227"/>
    </row>
    <row r="8" spans="1:13">
      <c r="A8" s="371" t="s">
        <v>3366</v>
      </c>
      <c r="B8" s="92">
        <v>151052</v>
      </c>
      <c r="C8" s="371" t="s">
        <v>3370</v>
      </c>
      <c r="D8" s="92">
        <v>46025</v>
      </c>
      <c r="H8" s="1231">
        <v>43556</v>
      </c>
      <c r="I8" s="1227"/>
    </row>
    <row r="9" spans="1:13">
      <c r="A9" s="371" t="s">
        <v>3367</v>
      </c>
      <c r="B9" s="92">
        <v>125725</v>
      </c>
      <c r="C9" s="371" t="s">
        <v>3371</v>
      </c>
      <c r="D9" s="92">
        <v>63416</v>
      </c>
      <c r="H9" s="1230">
        <v>43586</v>
      </c>
      <c r="I9" s="1227"/>
    </row>
    <row r="10" spans="1:13">
      <c r="A10" s="335" t="s">
        <v>3368</v>
      </c>
      <c r="B10" s="336">
        <v>104500</v>
      </c>
      <c r="C10" s="335" t="s">
        <v>3372</v>
      </c>
      <c r="D10" s="92">
        <v>55000</v>
      </c>
      <c r="H10" s="1231">
        <v>43617</v>
      </c>
      <c r="I10" s="1227"/>
    </row>
    <row r="11" spans="1:13">
      <c r="H11" s="1230">
        <v>43647</v>
      </c>
      <c r="I11" s="1227"/>
    </row>
    <row r="12" spans="1:13">
      <c r="H12" s="1231">
        <v>43678</v>
      </c>
      <c r="I12" s="1227"/>
    </row>
    <row r="13" spans="1:13">
      <c r="H13" s="1230">
        <v>43709</v>
      </c>
      <c r="I13" s="1227"/>
    </row>
    <row r="14" spans="1:13">
      <c r="H14" s="1231">
        <v>43739</v>
      </c>
      <c r="I14" s="1227"/>
    </row>
    <row r="15" spans="1:13">
      <c r="H15" s="1230">
        <v>43770</v>
      </c>
      <c r="I15" s="1227"/>
    </row>
    <row r="16" spans="1:13">
      <c r="H16" s="1231">
        <v>43800</v>
      </c>
      <c r="I16" s="1227"/>
    </row>
    <row r="17" spans="8:11">
      <c r="H17" s="1230">
        <v>43831</v>
      </c>
    </row>
    <row r="18" spans="8:11">
      <c r="H18" s="1231">
        <v>43862</v>
      </c>
    </row>
    <row r="19" spans="8:11">
      <c r="H19" s="1230">
        <v>43891</v>
      </c>
    </row>
    <row r="20" spans="8:11">
      <c r="H20" s="1231">
        <v>43922</v>
      </c>
    </row>
    <row r="21" spans="8:11">
      <c r="H21" s="1230">
        <v>43952</v>
      </c>
    </row>
    <row r="22" spans="8:11">
      <c r="H22" s="1231">
        <v>43983</v>
      </c>
      <c r="J22" s="92">
        <v>21044</v>
      </c>
    </row>
    <row r="23" spans="8:11">
      <c r="H23" s="1230">
        <v>44013</v>
      </c>
    </row>
    <row r="24" spans="8:11">
      <c r="H24" s="1231">
        <v>44044</v>
      </c>
    </row>
    <row r="25" spans="8:11">
      <c r="H25" s="1230">
        <v>44075</v>
      </c>
    </row>
    <row r="26" spans="8:11">
      <c r="H26" s="1231">
        <v>44105</v>
      </c>
    </row>
    <row r="27" spans="8:11">
      <c r="H27" s="1230">
        <v>44136</v>
      </c>
    </row>
    <row r="28" spans="8:11">
      <c r="H28" s="1231">
        <v>44166</v>
      </c>
    </row>
    <row r="29" spans="8:11">
      <c r="H29" s="1230">
        <v>44197</v>
      </c>
    </row>
    <row r="30" spans="8:11">
      <c r="H30" s="1231">
        <v>44228</v>
      </c>
      <c r="K30" s="92">
        <v>1020</v>
      </c>
    </row>
    <row r="31" spans="8:11">
      <c r="H31" s="1230">
        <v>44256</v>
      </c>
      <c r="K31" s="92">
        <v>1020</v>
      </c>
    </row>
    <row r="32" spans="8:11">
      <c r="H32" s="1231">
        <v>44287</v>
      </c>
      <c r="K32" s="92">
        <v>1020</v>
      </c>
    </row>
    <row r="33" spans="8:12">
      <c r="H33" s="1230">
        <v>44317</v>
      </c>
      <c r="K33" s="92">
        <v>1020</v>
      </c>
    </row>
    <row r="34" spans="8:12">
      <c r="H34" s="1231">
        <v>44348</v>
      </c>
      <c r="K34" s="92">
        <v>1020</v>
      </c>
    </row>
    <row r="35" spans="8:12">
      <c r="H35" s="1230">
        <v>44378</v>
      </c>
      <c r="K35" s="92">
        <v>1020</v>
      </c>
    </row>
    <row r="36" spans="8:12">
      <c r="H36" s="1231">
        <v>44409</v>
      </c>
      <c r="K36" s="92">
        <v>1020</v>
      </c>
    </row>
    <row r="37" spans="8:12">
      <c r="H37" s="1230">
        <v>44440</v>
      </c>
      <c r="K37" s="92">
        <v>1020</v>
      </c>
    </row>
    <row r="38" spans="8:12">
      <c r="H38" s="1231">
        <v>44470</v>
      </c>
      <c r="K38" s="92">
        <v>1020</v>
      </c>
    </row>
    <row r="39" spans="8:12">
      <c r="H39" s="1230">
        <v>44501</v>
      </c>
      <c r="J39" s="92">
        <v>7168</v>
      </c>
      <c r="K39" s="92">
        <v>1020</v>
      </c>
    </row>
    <row r="40" spans="8:12">
      <c r="H40" s="1231">
        <v>44531</v>
      </c>
      <c r="J40" s="92">
        <v>7169</v>
      </c>
      <c r="K40" s="92">
        <v>1020</v>
      </c>
    </row>
    <row r="41" spans="8:12">
      <c r="H41" s="1230">
        <v>44562</v>
      </c>
      <c r="L41" s="92">
        <v>1020</v>
      </c>
    </row>
    <row r="42" spans="8:12">
      <c r="H42" s="1231">
        <v>44593</v>
      </c>
      <c r="L42" s="92">
        <v>1020</v>
      </c>
    </row>
    <row r="43" spans="8:12">
      <c r="H43" s="1230">
        <v>44621</v>
      </c>
      <c r="L43" s="92">
        <v>1020</v>
      </c>
    </row>
    <row r="44" spans="8:12">
      <c r="H44" s="1231">
        <v>44652</v>
      </c>
      <c r="L44" s="92">
        <v>1020</v>
      </c>
    </row>
    <row r="45" spans="8:12">
      <c r="H45" s="1230">
        <v>44682</v>
      </c>
      <c r="L45" s="92">
        <v>1020</v>
      </c>
    </row>
    <row r="46" spans="8:12">
      <c r="H46" s="1231">
        <v>44713</v>
      </c>
      <c r="L46" s="92">
        <v>1020</v>
      </c>
    </row>
    <row r="47" spans="8:12">
      <c r="H47" s="1230">
        <v>44743</v>
      </c>
      <c r="L47" s="92">
        <v>1020</v>
      </c>
    </row>
    <row r="48" spans="8:12">
      <c r="H48" s="1231">
        <v>44774</v>
      </c>
      <c r="L48" s="92">
        <v>1020</v>
      </c>
    </row>
    <row r="49" spans="8:12">
      <c r="H49" s="1230">
        <v>44805</v>
      </c>
      <c r="K49" s="92">
        <v>3766</v>
      </c>
      <c r="L49" s="92">
        <v>2922</v>
      </c>
    </row>
    <row r="50" spans="8:12">
      <c r="H50" s="1231">
        <v>44835</v>
      </c>
      <c r="K50" s="92">
        <v>3766</v>
      </c>
      <c r="L50" s="92">
        <v>2922</v>
      </c>
    </row>
    <row r="51" spans="8:12">
      <c r="H51" s="1230">
        <v>44866</v>
      </c>
      <c r="K51" s="92">
        <v>3766</v>
      </c>
      <c r="L51" s="92">
        <v>2922</v>
      </c>
    </row>
    <row r="52" spans="8:12">
      <c r="H52" s="1231">
        <v>44896</v>
      </c>
      <c r="K52" s="92">
        <v>3766</v>
      </c>
      <c r="L52" s="92">
        <v>2922</v>
      </c>
    </row>
    <row r="53" spans="8:12">
      <c r="H53" s="1230"/>
    </row>
    <row r="70" spans="8:12">
      <c r="H70" s="1231" t="s">
        <v>3373</v>
      </c>
      <c r="J70" s="92">
        <v>-2104</v>
      </c>
      <c r="K70" s="92">
        <v>-871</v>
      </c>
    </row>
    <row r="71" spans="8:12">
      <c r="H71" s="1229" t="s">
        <v>2263</v>
      </c>
      <c r="J71" s="92">
        <f>SUM(J5:J70)</f>
        <v>33277</v>
      </c>
      <c r="K71" s="92">
        <f>SUM(K5:K70)</f>
        <v>25413</v>
      </c>
      <c r="L71" s="92">
        <f>SUM(L5:L70)</f>
        <v>19848</v>
      </c>
    </row>
    <row r="74" spans="8:12">
      <c r="J74" s="92">
        <f>J71-33068</f>
        <v>209</v>
      </c>
      <c r="K74" s="92">
        <f>K71-24862</f>
        <v>551</v>
      </c>
    </row>
  </sheetData>
  <phoneticPr fontId="7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26"/>
  <sheetViews>
    <sheetView workbookViewId="0">
      <selection activeCell="I23" sqref="I23"/>
    </sheetView>
  </sheetViews>
  <sheetFormatPr baseColWidth="10" defaultRowHeight="13.2"/>
  <cols>
    <col min="6" max="6" width="2.21875" hidden="1" customWidth="1"/>
    <col min="7" max="7" width="6.21875" customWidth="1"/>
    <col min="8" max="8" width="9.77734375" customWidth="1"/>
    <col min="9" max="9" width="8.21875" customWidth="1"/>
    <col min="10" max="10" width="1.77734375" customWidth="1"/>
    <col min="13" max="13" width="0.21875" customWidth="1"/>
    <col min="15" max="15" width="6.21875" customWidth="1"/>
  </cols>
  <sheetData>
    <row r="1" spans="1:21" s="8" customFormat="1" ht="10.199999999999999">
      <c r="A1" s="7" t="s">
        <v>0</v>
      </c>
      <c r="B1" s="7" t="s">
        <v>1</v>
      </c>
      <c r="C1" s="29" t="s">
        <v>370</v>
      </c>
      <c r="D1" s="29" t="s">
        <v>371</v>
      </c>
      <c r="E1" s="7" t="s">
        <v>2</v>
      </c>
      <c r="F1" s="7" t="s">
        <v>3</v>
      </c>
      <c r="G1" s="7" t="s">
        <v>4</v>
      </c>
      <c r="H1" s="7" t="s">
        <v>16</v>
      </c>
      <c r="I1" s="7" t="s">
        <v>5</v>
      </c>
      <c r="J1" s="7" t="s">
        <v>6</v>
      </c>
      <c r="K1" s="7" t="s">
        <v>7</v>
      </c>
      <c r="L1" s="7" t="s">
        <v>21</v>
      </c>
      <c r="M1" s="7" t="s">
        <v>8</v>
      </c>
      <c r="N1" s="7" t="s">
        <v>9</v>
      </c>
      <c r="O1" s="7" t="s">
        <v>418</v>
      </c>
      <c r="P1" s="7" t="s">
        <v>38</v>
      </c>
      <c r="Q1" s="8" t="s">
        <v>67</v>
      </c>
      <c r="R1" s="8" t="s">
        <v>417</v>
      </c>
      <c r="S1" s="7" t="s">
        <v>416</v>
      </c>
      <c r="T1" s="7" t="s">
        <v>105</v>
      </c>
      <c r="U1" s="7" t="s">
        <v>231</v>
      </c>
    </row>
    <row r="2" spans="1:21" s="61" customFormat="1">
      <c r="A2" s="61" t="s">
        <v>801</v>
      </c>
      <c r="B2" s="61" t="s">
        <v>802</v>
      </c>
      <c r="C2" s="62">
        <v>40761</v>
      </c>
      <c r="D2" s="62">
        <v>40768</v>
      </c>
      <c r="E2" s="61" t="s">
        <v>803</v>
      </c>
      <c r="G2" s="61" t="s">
        <v>804</v>
      </c>
      <c r="H2" s="61" t="s">
        <v>805</v>
      </c>
      <c r="I2" s="61" t="s">
        <v>18</v>
      </c>
      <c r="J2" s="61" t="s">
        <v>51</v>
      </c>
      <c r="L2" s="61" t="s">
        <v>806</v>
      </c>
      <c r="N2" s="66" t="s">
        <v>807</v>
      </c>
      <c r="O2" s="64">
        <v>1290</v>
      </c>
      <c r="R2" s="61">
        <v>1</v>
      </c>
      <c r="S2" s="61">
        <v>4</v>
      </c>
      <c r="U2" s="65"/>
    </row>
    <row r="3" spans="1:21" s="8" customFormat="1">
      <c r="C3" s="31"/>
      <c r="D3" s="31"/>
      <c r="N3" s="2"/>
      <c r="O3" s="12"/>
      <c r="U3" s="19"/>
    </row>
    <row r="4" spans="1:21" s="8" customFormat="1">
      <c r="A4" s="8" t="s">
        <v>988</v>
      </c>
      <c r="C4" s="31"/>
      <c r="D4" s="31"/>
      <c r="I4" s="74"/>
      <c r="N4" s="2"/>
      <c r="O4" s="12"/>
      <c r="U4" s="19"/>
    </row>
    <row r="5" spans="1:21" s="21" customFormat="1">
      <c r="A5" s="21" t="s">
        <v>816</v>
      </c>
      <c r="B5" s="21" t="s">
        <v>706</v>
      </c>
      <c r="C5" s="30">
        <v>41076</v>
      </c>
      <c r="D5" s="30">
        <v>41083</v>
      </c>
      <c r="E5" s="21" t="s">
        <v>817</v>
      </c>
      <c r="G5" s="21">
        <v>90170</v>
      </c>
      <c r="H5" s="21" t="s">
        <v>818</v>
      </c>
      <c r="I5" s="21" t="s">
        <v>23</v>
      </c>
      <c r="J5" s="21" t="s">
        <v>19</v>
      </c>
      <c r="K5" s="21" t="s">
        <v>819</v>
      </c>
      <c r="L5" s="21" t="s">
        <v>820</v>
      </c>
      <c r="N5" s="60" t="s">
        <v>821</v>
      </c>
      <c r="O5" s="22">
        <v>790</v>
      </c>
      <c r="R5" s="21">
        <v>1</v>
      </c>
      <c r="S5" s="21" t="s">
        <v>822</v>
      </c>
      <c r="T5" s="21">
        <v>0</v>
      </c>
      <c r="U5" s="23">
        <f>O5/4</f>
        <v>197.5</v>
      </c>
    </row>
    <row r="6" spans="1:21" s="21" customFormat="1">
      <c r="A6" s="21" t="s">
        <v>840</v>
      </c>
      <c r="B6" s="21" t="s">
        <v>839</v>
      </c>
      <c r="C6" s="30">
        <v>41117</v>
      </c>
      <c r="D6" s="30">
        <v>41132</v>
      </c>
      <c r="E6" s="21" t="s">
        <v>843</v>
      </c>
      <c r="G6" s="21" t="s">
        <v>841</v>
      </c>
      <c r="H6" s="21" t="s">
        <v>842</v>
      </c>
      <c r="I6" s="21" t="s">
        <v>168</v>
      </c>
      <c r="J6" s="21" t="s">
        <v>19</v>
      </c>
      <c r="L6" s="21" t="s">
        <v>844</v>
      </c>
      <c r="N6" s="60" t="s">
        <v>838</v>
      </c>
      <c r="O6" s="22">
        <f>1450*2</f>
        <v>2900</v>
      </c>
      <c r="P6" s="21" t="s">
        <v>845</v>
      </c>
      <c r="R6" s="21">
        <v>2</v>
      </c>
      <c r="S6" s="21">
        <v>4</v>
      </c>
      <c r="T6" s="21">
        <v>0</v>
      </c>
      <c r="U6" s="23">
        <f>O6/4</f>
        <v>725</v>
      </c>
    </row>
    <row r="7" spans="1:21" s="21" customFormat="1">
      <c r="A7" s="21" t="s">
        <v>972</v>
      </c>
      <c r="B7" s="21" t="s">
        <v>973</v>
      </c>
      <c r="C7" s="30">
        <v>41132</v>
      </c>
      <c r="D7" s="30">
        <v>41139</v>
      </c>
      <c r="E7" s="21" t="s">
        <v>974</v>
      </c>
      <c r="G7" s="21" t="s">
        <v>975</v>
      </c>
      <c r="H7" s="21" t="s">
        <v>976</v>
      </c>
      <c r="I7" s="21" t="s">
        <v>977</v>
      </c>
      <c r="J7" s="21" t="s">
        <v>51</v>
      </c>
      <c r="L7" s="21" t="s">
        <v>978</v>
      </c>
      <c r="N7" s="60" t="s">
        <v>979</v>
      </c>
      <c r="O7" s="22">
        <v>1000</v>
      </c>
      <c r="R7" s="21">
        <v>1</v>
      </c>
      <c r="U7" s="23"/>
    </row>
    <row r="8" spans="1:21" s="21" customFormat="1">
      <c r="A8" s="21" t="s">
        <v>980</v>
      </c>
      <c r="B8" s="21" t="s">
        <v>981</v>
      </c>
      <c r="C8" s="30">
        <v>41139</v>
      </c>
      <c r="D8" s="30">
        <v>41146</v>
      </c>
      <c r="E8" s="21" t="s">
        <v>984</v>
      </c>
      <c r="G8" s="21">
        <v>78770</v>
      </c>
      <c r="H8" s="21" t="s">
        <v>982</v>
      </c>
      <c r="I8" s="21" t="s">
        <v>983</v>
      </c>
      <c r="J8" s="21" t="s">
        <v>19</v>
      </c>
      <c r="K8" s="21" t="s">
        <v>986</v>
      </c>
      <c r="L8" s="21" t="s">
        <v>985</v>
      </c>
      <c r="N8" s="60" t="s">
        <v>987</v>
      </c>
      <c r="O8" s="22">
        <v>921</v>
      </c>
      <c r="R8" s="21">
        <v>1</v>
      </c>
      <c r="S8" s="21">
        <v>5</v>
      </c>
      <c r="U8" s="23"/>
    </row>
    <row r="9" spans="1:21" s="21" customFormat="1" ht="10.199999999999999">
      <c r="A9" s="21" t="s">
        <v>601</v>
      </c>
      <c r="B9" s="21" t="s">
        <v>347</v>
      </c>
      <c r="C9" s="30">
        <v>41209</v>
      </c>
      <c r="D9" s="30">
        <v>41216</v>
      </c>
      <c r="E9" s="21" t="s">
        <v>348</v>
      </c>
      <c r="G9" s="21" t="s">
        <v>349</v>
      </c>
      <c r="H9" s="21" t="s">
        <v>350</v>
      </c>
      <c r="I9" s="21" t="s">
        <v>54</v>
      </c>
      <c r="J9" s="21" t="s">
        <v>19</v>
      </c>
      <c r="L9" s="21" t="s">
        <v>351</v>
      </c>
      <c r="N9" s="50" t="s">
        <v>352</v>
      </c>
      <c r="O9" s="22">
        <f>690</f>
        <v>690</v>
      </c>
      <c r="Q9" s="21" t="s">
        <v>971</v>
      </c>
      <c r="R9" s="21">
        <v>1</v>
      </c>
      <c r="S9" s="21">
        <v>6</v>
      </c>
      <c r="T9" s="21">
        <v>1</v>
      </c>
      <c r="U9" s="23">
        <v>222.5</v>
      </c>
    </row>
    <row r="11" spans="1:21">
      <c r="A11" s="90" t="s">
        <v>989</v>
      </c>
      <c r="B11" s="91">
        <f>SUM(O5:O10)</f>
        <v>6301</v>
      </c>
    </row>
    <row r="14" spans="1:21">
      <c r="A14" t="s">
        <v>1014</v>
      </c>
    </row>
    <row r="16" spans="1:21" s="21" customFormat="1" ht="10.199999999999999">
      <c r="A16" s="21" t="s">
        <v>1015</v>
      </c>
      <c r="B16" s="21" t="s">
        <v>406</v>
      </c>
      <c r="C16" s="30">
        <v>41441</v>
      </c>
      <c r="D16" s="30">
        <v>41462</v>
      </c>
      <c r="E16" s="21" t="s">
        <v>1017</v>
      </c>
      <c r="G16" s="21" t="s">
        <v>1018</v>
      </c>
      <c r="H16" s="21" t="s">
        <v>239</v>
      </c>
      <c r="I16" s="21" t="s">
        <v>18</v>
      </c>
      <c r="J16" s="21" t="s">
        <v>51</v>
      </c>
      <c r="L16" s="21" t="s">
        <v>1019</v>
      </c>
      <c r="N16" s="50" t="s">
        <v>1016</v>
      </c>
      <c r="O16" s="22">
        <v>3030</v>
      </c>
      <c r="R16" s="21">
        <v>3</v>
      </c>
      <c r="U16" s="23"/>
    </row>
    <row r="17" spans="1:21" s="21" customFormat="1" ht="10.199999999999999">
      <c r="A17" s="21" t="s">
        <v>1082</v>
      </c>
      <c r="B17" s="21" t="s">
        <v>1083</v>
      </c>
      <c r="C17" s="30">
        <v>41510</v>
      </c>
      <c r="D17" s="30">
        <v>41524</v>
      </c>
      <c r="E17" s="21" t="s">
        <v>1084</v>
      </c>
      <c r="G17" s="21" t="s">
        <v>1085</v>
      </c>
      <c r="H17" s="21" t="s">
        <v>1086</v>
      </c>
      <c r="I17" s="21" t="s">
        <v>18</v>
      </c>
      <c r="J17" s="21" t="s">
        <v>51</v>
      </c>
      <c r="L17" s="21" t="s">
        <v>1087</v>
      </c>
      <c r="N17" s="50" t="s">
        <v>1088</v>
      </c>
      <c r="O17" s="22">
        <f>1120+1020</f>
        <v>2140</v>
      </c>
      <c r="R17" s="21">
        <v>2</v>
      </c>
      <c r="U17" s="23"/>
    </row>
    <row r="18" spans="1:21" s="21" customFormat="1" ht="10.199999999999999">
      <c r="A18" s="21" t="s">
        <v>1120</v>
      </c>
      <c r="B18" s="21" t="s">
        <v>1121</v>
      </c>
      <c r="C18" s="30">
        <v>41503</v>
      </c>
      <c r="D18" s="30">
        <v>41510</v>
      </c>
      <c r="J18" s="21" t="s">
        <v>19</v>
      </c>
      <c r="L18" s="21" t="s">
        <v>1122</v>
      </c>
      <c r="N18" s="50" t="s">
        <v>1123</v>
      </c>
      <c r="O18" s="22">
        <v>1220</v>
      </c>
      <c r="R18" s="21">
        <v>1</v>
      </c>
      <c r="U18" s="23"/>
    </row>
    <row r="26" spans="1:21">
      <c r="L26">
        <f>3030/4</f>
        <v>757.5</v>
      </c>
    </row>
  </sheetData>
  <phoneticPr fontId="0" type="noConversion"/>
  <hyperlinks>
    <hyperlink ref="N2" r:id="rId1" xr:uid="{00000000-0004-0000-0300-000000000000}"/>
    <hyperlink ref="N9" r:id="rId2" xr:uid="{00000000-0004-0000-0300-000001000000}"/>
    <hyperlink ref="N8" r:id="rId3" xr:uid="{00000000-0004-0000-0300-000002000000}"/>
    <hyperlink ref="N7" r:id="rId4" xr:uid="{00000000-0004-0000-0300-000003000000}"/>
    <hyperlink ref="N17" r:id="rId5" xr:uid="{00000000-0004-0000-0300-000004000000}"/>
  </hyperlinks>
  <pageMargins left="0.78740157499999996" right="0.78740157499999996" top="0.984251969" bottom="0.984251969" header="0.4921259845" footer="0.4921259845"/>
  <pageSetup paperSize="9" orientation="portrait" r:id="rId6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00"/>
  <sheetViews>
    <sheetView topLeftCell="A13" workbookViewId="0">
      <selection activeCell="A25" sqref="A25"/>
    </sheetView>
  </sheetViews>
  <sheetFormatPr baseColWidth="10" defaultRowHeight="13.2"/>
  <cols>
    <col min="1" max="1" width="28.5546875" customWidth="1"/>
    <col min="2" max="2" width="29.88671875" style="379" bestFit="1" customWidth="1"/>
    <col min="3" max="3" width="20.6640625" bestFit="1" customWidth="1"/>
  </cols>
  <sheetData>
    <row r="1" spans="1:4">
      <c r="A1">
        <v>4153079</v>
      </c>
      <c r="B1" s="379">
        <v>5001391</v>
      </c>
      <c r="D1">
        <v>1921</v>
      </c>
    </row>
    <row r="2" spans="1:4">
      <c r="A2" t="s">
        <v>993</v>
      </c>
      <c r="B2" s="379" t="s">
        <v>993</v>
      </c>
    </row>
    <row r="3" spans="1:4">
      <c r="A3" s="92">
        <v>15732.29</v>
      </c>
      <c r="B3" s="379">
        <v>15882.18</v>
      </c>
    </row>
    <row r="9" spans="1:4">
      <c r="A9" t="s">
        <v>2989</v>
      </c>
      <c r="B9" s="379" t="s">
        <v>1632</v>
      </c>
    </row>
    <row r="16" spans="1:4">
      <c r="A16" s="3"/>
      <c r="B16" s="380"/>
    </row>
    <row r="20" spans="1:3">
      <c r="A20" s="3" t="s">
        <v>1555</v>
      </c>
    </row>
    <row r="21" spans="1:3">
      <c r="A21" s="123" t="s">
        <v>1552</v>
      </c>
    </row>
    <row r="22" spans="1:3">
      <c r="A22" s="122" t="s">
        <v>1553</v>
      </c>
    </row>
    <row r="23" spans="1:3">
      <c r="A23" s="122" t="s">
        <v>1554</v>
      </c>
    </row>
    <row r="26" spans="1:3">
      <c r="A26" s="2" t="s">
        <v>1668</v>
      </c>
    </row>
    <row r="28" spans="1:3">
      <c r="A28" t="s">
        <v>1880</v>
      </c>
    </row>
    <row r="30" spans="1:3">
      <c r="A30" s="371" t="s">
        <v>1882</v>
      </c>
      <c r="B30" s="381" t="s">
        <v>1883</v>
      </c>
      <c r="C30" s="2" t="s">
        <v>1631</v>
      </c>
    </row>
    <row r="31" spans="1:3">
      <c r="A31" s="371" t="s">
        <v>1882</v>
      </c>
      <c r="B31" s="457">
        <v>39748665</v>
      </c>
      <c r="C31" s="406">
        <v>180644</v>
      </c>
    </row>
    <row r="33" spans="1:3">
      <c r="A33" s="371" t="s">
        <v>2329</v>
      </c>
      <c r="B33" s="382" t="s">
        <v>1900</v>
      </c>
      <c r="C33" s="371" t="s">
        <v>2328</v>
      </c>
    </row>
    <row r="34" spans="1:3">
      <c r="B34" s="382" t="s">
        <v>1901</v>
      </c>
      <c r="C34" t="s">
        <v>1970</v>
      </c>
    </row>
    <row r="37" spans="1:3">
      <c r="A37" s="371" t="s">
        <v>1909</v>
      </c>
      <c r="B37" s="382" t="s">
        <v>1908</v>
      </c>
    </row>
    <row r="39" spans="1:3">
      <c r="A39" s="371" t="s">
        <v>1477</v>
      </c>
      <c r="B39" s="382" t="s">
        <v>1900</v>
      </c>
      <c r="C39" s="381" t="s">
        <v>1132</v>
      </c>
    </row>
    <row r="40" spans="1:3" ht="15.6">
      <c r="A40" s="371" t="s">
        <v>1813</v>
      </c>
      <c r="B40" s="2" t="s">
        <v>1934</v>
      </c>
      <c r="C40" s="402" t="s">
        <v>1935</v>
      </c>
    </row>
    <row r="42" spans="1:3">
      <c r="A42" t="s">
        <v>2393</v>
      </c>
      <c r="B42" s="379" t="s">
        <v>2394</v>
      </c>
      <c r="C42" t="s">
        <v>1632</v>
      </c>
    </row>
    <row r="43" spans="1:3">
      <c r="A43" s="371" t="s">
        <v>2396</v>
      </c>
      <c r="B43" s="379">
        <v>101345940</v>
      </c>
    </row>
    <row r="44" spans="1:3">
      <c r="A44" s="371" t="s">
        <v>2395</v>
      </c>
      <c r="B44" s="379">
        <v>927456097</v>
      </c>
    </row>
    <row r="46" spans="1:3">
      <c r="A46" t="s">
        <v>1912</v>
      </c>
      <c r="B46" s="382" t="s">
        <v>1900</v>
      </c>
      <c r="C46" t="s">
        <v>2230</v>
      </c>
    </row>
    <row r="47" spans="1:3">
      <c r="A47" t="s">
        <v>1912</v>
      </c>
      <c r="B47" s="382" t="s">
        <v>1631</v>
      </c>
      <c r="C47" t="s">
        <v>1632</v>
      </c>
    </row>
    <row r="48" spans="1:3">
      <c r="A48" t="s">
        <v>1912</v>
      </c>
      <c r="B48" s="382" t="s">
        <v>1934</v>
      </c>
      <c r="C48" t="s">
        <v>2200</v>
      </c>
    </row>
    <row r="49" spans="1:3">
      <c r="A49" t="s">
        <v>1945</v>
      </c>
      <c r="B49" s="379">
        <v>9476</v>
      </c>
      <c r="C49" s="406">
        <v>9476</v>
      </c>
    </row>
    <row r="52" spans="1:3">
      <c r="A52" t="s">
        <v>1882</v>
      </c>
      <c r="B52" s="379" t="s">
        <v>1969</v>
      </c>
      <c r="C52" s="406">
        <v>180644</v>
      </c>
    </row>
    <row r="54" spans="1:3" ht="14.4">
      <c r="A54" s="371" t="s">
        <v>1979</v>
      </c>
      <c r="B54" s="407" t="s">
        <v>1971</v>
      </c>
      <c r="C54" t="s">
        <v>1970</v>
      </c>
    </row>
    <row r="55" spans="1:3">
      <c r="A55" s="371" t="s">
        <v>1833</v>
      </c>
      <c r="B55" s="382" t="s">
        <v>1900</v>
      </c>
      <c r="C55" s="371" t="s">
        <v>1132</v>
      </c>
    </row>
    <row r="57" spans="1:3">
      <c r="A57" t="s">
        <v>2006</v>
      </c>
      <c r="B57" s="92">
        <v>170072910303497</v>
      </c>
      <c r="C57" s="379" t="s">
        <v>2007</v>
      </c>
    </row>
    <row r="59" spans="1:3">
      <c r="A59" t="s">
        <v>2199</v>
      </c>
      <c r="B59" s="382" t="s">
        <v>1934</v>
      </c>
      <c r="C59" t="s">
        <v>2200</v>
      </c>
    </row>
    <row r="61" spans="1:3">
      <c r="A61" s="371" t="s">
        <v>2213</v>
      </c>
      <c r="B61" s="382" t="s">
        <v>2214</v>
      </c>
      <c r="C61" s="371" t="s">
        <v>1632</v>
      </c>
    </row>
    <row r="63" spans="1:3">
      <c r="A63" t="s">
        <v>2231</v>
      </c>
      <c r="B63" s="382" t="s">
        <v>1631</v>
      </c>
      <c r="C63" t="s">
        <v>1131</v>
      </c>
    </row>
    <row r="66" spans="1:4">
      <c r="A66" t="s">
        <v>2301</v>
      </c>
    </row>
    <row r="67" spans="1:4">
      <c r="A67" t="s">
        <v>2302</v>
      </c>
      <c r="B67" s="495" t="s">
        <v>2303</v>
      </c>
    </row>
    <row r="68" spans="1:4">
      <c r="A68" t="s">
        <v>2311</v>
      </c>
      <c r="B68" s="382" t="s">
        <v>1900</v>
      </c>
    </row>
    <row r="69" spans="1:4">
      <c r="A69" t="s">
        <v>2403</v>
      </c>
      <c r="B69" s="382" t="s">
        <v>1900</v>
      </c>
      <c r="C69" t="s">
        <v>2200</v>
      </c>
    </row>
    <row r="70" spans="1:4">
      <c r="A70" t="s">
        <v>2545</v>
      </c>
      <c r="B70" s="382" t="s">
        <v>1631</v>
      </c>
      <c r="C70" t="s">
        <v>1970</v>
      </c>
      <c r="D70" t="s">
        <v>2751</v>
      </c>
    </row>
    <row r="71" spans="1:4">
      <c r="A71" t="s">
        <v>2545</v>
      </c>
      <c r="B71" s="382" t="s">
        <v>1900</v>
      </c>
      <c r="C71" t="s">
        <v>2200</v>
      </c>
      <c r="D71" t="s">
        <v>2750</v>
      </c>
    </row>
    <row r="72" spans="1:4">
      <c r="A72" t="s">
        <v>2330</v>
      </c>
      <c r="B72" s="379">
        <v>46321025480</v>
      </c>
    </row>
    <row r="73" spans="1:4">
      <c r="A73" t="s">
        <v>2772</v>
      </c>
      <c r="B73" s="382" t="s">
        <v>1631</v>
      </c>
      <c r="C73" t="s">
        <v>1632</v>
      </c>
    </row>
    <row r="76" spans="1:4">
      <c r="A76" s="371" t="s">
        <v>2363</v>
      </c>
      <c r="B76" s="381" t="s">
        <v>2364</v>
      </c>
    </row>
    <row r="79" spans="1:4">
      <c r="A79" t="s">
        <v>2404</v>
      </c>
      <c r="B79" s="379">
        <v>4041097</v>
      </c>
      <c r="C79" s="406">
        <v>37571</v>
      </c>
    </row>
    <row r="80" spans="1:4">
      <c r="B80" s="379">
        <v>4041096</v>
      </c>
      <c r="C80" t="s">
        <v>2405</v>
      </c>
    </row>
    <row r="82" spans="1:3">
      <c r="A82" t="s">
        <v>2556</v>
      </c>
      <c r="B82" s="379">
        <v>46321025480</v>
      </c>
      <c r="C82" t="s">
        <v>2557</v>
      </c>
    </row>
    <row r="84" spans="1:3">
      <c r="A84" t="s">
        <v>2695</v>
      </c>
      <c r="B84" s="379" t="s">
        <v>2800</v>
      </c>
    </row>
    <row r="85" spans="1:3">
      <c r="A85" s="8" t="s">
        <v>2178</v>
      </c>
      <c r="B85" s="2" t="s">
        <v>1900</v>
      </c>
      <c r="C85" s="8" t="s">
        <v>2200</v>
      </c>
    </row>
    <row r="86" spans="1:3">
      <c r="B86" s="382"/>
    </row>
    <row r="88" spans="1:3" ht="13.8">
      <c r="A88" s="932" t="s">
        <v>2773</v>
      </c>
      <c r="B88" s="931">
        <v>843568023</v>
      </c>
    </row>
    <row r="90" spans="1:3">
      <c r="A90" s="371" t="s">
        <v>2774</v>
      </c>
      <c r="B90" s="381"/>
      <c r="C90" t="s">
        <v>2200</v>
      </c>
    </row>
    <row r="93" spans="1:3">
      <c r="A93" t="s">
        <v>997</v>
      </c>
      <c r="B93" s="2" t="s">
        <v>2775</v>
      </c>
      <c r="C93" s="379" t="s">
        <v>2230</v>
      </c>
    </row>
    <row r="97" spans="1:3">
      <c r="A97" t="s">
        <v>2301</v>
      </c>
      <c r="B97" s="382" t="s">
        <v>1900</v>
      </c>
      <c r="C97" t="s">
        <v>2801</v>
      </c>
    </row>
    <row r="98" spans="1:3">
      <c r="A98" s="371" t="s">
        <v>2810</v>
      </c>
      <c r="B98" s="92">
        <v>1712717</v>
      </c>
      <c r="C98" s="371" t="s">
        <v>2809</v>
      </c>
    </row>
    <row r="99" spans="1:3">
      <c r="A99" s="371" t="s">
        <v>2814</v>
      </c>
      <c r="B99" s="382" t="s">
        <v>1900</v>
      </c>
      <c r="C99" s="371" t="s">
        <v>2815</v>
      </c>
    </row>
    <row r="100" spans="1:3">
      <c r="A100" s="371" t="s">
        <v>2816</v>
      </c>
      <c r="C100" s="371" t="s">
        <v>2817</v>
      </c>
    </row>
  </sheetData>
  <phoneticPr fontId="23" type="noConversion"/>
  <hyperlinks>
    <hyperlink ref="A21" r:id="rId1" xr:uid="{00000000-0004-0000-0400-000000000000}"/>
    <hyperlink ref="A26" r:id="rId2" xr:uid="{00000000-0004-0000-0400-000001000000}"/>
    <hyperlink ref="C30" r:id="rId3" xr:uid="{111C0083-BED5-4CB0-A3A3-5FEBCBC0B828}"/>
    <hyperlink ref="B33" r:id="rId4" xr:uid="{A9148650-56DE-49E8-ABD4-F1474FCDAD6F}"/>
    <hyperlink ref="B34" r:id="rId5" xr:uid="{020F4954-63B0-430B-9121-B5FD5716E4D0}"/>
    <hyperlink ref="B37" r:id="rId6" xr:uid="{D05184D8-272F-4AD7-9224-3EB71861D119}"/>
    <hyperlink ref="B46" r:id="rId7" xr:uid="{4EE44418-F390-40B0-AACC-CB3BD92CCAB5}"/>
    <hyperlink ref="B39" r:id="rId8" xr:uid="{8D77E8D4-987B-4E00-8036-1F9203B1A151}"/>
    <hyperlink ref="B40" r:id="rId9" display="mailto:cleder@orange.fr" xr:uid="{41F75E2D-B92B-4359-B20D-A896E22BFDCB}"/>
    <hyperlink ref="B55" r:id="rId10" xr:uid="{B633265D-14E9-4379-BF36-DFEAEC8BEC78}"/>
    <hyperlink ref="B59" r:id="rId11" xr:uid="{49E4F54E-05C0-467B-86B3-0DC9AF22CA96}"/>
    <hyperlink ref="B63" r:id="rId12" xr:uid="{FB82A6B5-4872-4667-9943-1646C160710A}"/>
    <hyperlink ref="B47" r:id="rId13" xr:uid="{C580C9D9-F224-4720-8F5A-84F3364AE733}"/>
    <hyperlink ref="B68" r:id="rId14" xr:uid="{6F730167-2F4B-4CA0-9156-5D4DEE661AF1}"/>
    <hyperlink ref="B61" r:id="rId15" xr:uid="{02A0F9F6-6E5C-409B-8CAA-2349DCAC3E71}"/>
    <hyperlink ref="B69" r:id="rId16" xr:uid="{E9C8241D-77A3-495D-98F2-CD783490D3D9}"/>
    <hyperlink ref="B48" r:id="rId17" xr:uid="{2680C577-4A8B-4780-A1CA-6F9A7F57E0BF}"/>
    <hyperlink ref="B70" r:id="rId18" xr:uid="{CFFCB40A-ABB8-492B-89B9-DF3DB4BE8121}"/>
    <hyperlink ref="B71" r:id="rId19" xr:uid="{AF854EE8-74AC-420A-8332-E2F6CB53E237}"/>
    <hyperlink ref="B85" r:id="rId20" xr:uid="{3287355A-260F-41C5-9AC3-4340C2A23DD1}"/>
    <hyperlink ref="B73" r:id="rId21" xr:uid="{6F54DC7A-F8A8-41C4-97E0-4FDF5C682C22}"/>
    <hyperlink ref="B93" r:id="rId22" xr:uid="{AAFB6507-15EF-4A07-B19E-A014165C99AB}"/>
    <hyperlink ref="B97" r:id="rId23" xr:uid="{3AAEA1EB-DCC1-4372-80CF-15D22D4CB927}"/>
    <hyperlink ref="B99" r:id="rId24" xr:uid="{C29CBA81-2CF4-4915-BCE4-F1EA98157CD0}"/>
  </hyperlinks>
  <pageMargins left="0.78740157499999996" right="0.78740157499999996" top="0.984251969" bottom="0.984251969" header="0.4921259845" footer="0.4921259845"/>
  <pageSetup paperSize="9" orientation="portrait" r:id="rId2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02BBA-FCF2-43B3-8EC9-5EA96D60EBB3}">
  <dimension ref="A1:Z575"/>
  <sheetViews>
    <sheetView topLeftCell="A28" workbookViewId="0">
      <selection activeCell="I29" sqref="I29"/>
    </sheetView>
  </sheetViews>
  <sheetFormatPr baseColWidth="10" defaultColWidth="12.21875" defaultRowHeight="10.199999999999999"/>
  <cols>
    <col min="1" max="1" width="8" style="139" customWidth="1"/>
    <col min="2" max="2" width="5.77734375" style="139" customWidth="1"/>
    <col min="3" max="3" width="7.44140625" style="139" hidden="1" customWidth="1"/>
    <col min="4" max="4" width="24.6640625" style="139" customWidth="1"/>
    <col min="5" max="16384" width="12.21875" style="139"/>
  </cols>
  <sheetData>
    <row r="1" spans="1:26">
      <c r="A1" s="136" t="s">
        <v>5</v>
      </c>
      <c r="B1" s="136" t="s">
        <v>6</v>
      </c>
      <c r="C1" s="136" t="s">
        <v>8</v>
      </c>
      <c r="D1" s="136" t="s">
        <v>9</v>
      </c>
    </row>
    <row r="2" spans="1:26">
      <c r="A2" s="143" t="s">
        <v>168</v>
      </c>
      <c r="B2" s="143" t="s">
        <v>51</v>
      </c>
      <c r="C2" s="143"/>
      <c r="D2" s="147" t="s">
        <v>437</v>
      </c>
      <c r="E2" s="143"/>
      <c r="F2" s="143"/>
      <c r="G2" s="143"/>
      <c r="H2" s="143"/>
      <c r="I2" s="143"/>
      <c r="J2" s="143"/>
      <c r="K2" s="143"/>
      <c r="L2" s="143"/>
      <c r="M2" s="143"/>
      <c r="N2" s="143"/>
      <c r="O2" s="143"/>
      <c r="P2" s="143"/>
      <c r="Q2" s="143"/>
      <c r="R2" s="143"/>
      <c r="S2" s="143"/>
      <c r="T2" s="143"/>
      <c r="U2" s="143"/>
      <c r="V2" s="143"/>
      <c r="W2" s="143"/>
      <c r="X2" s="143"/>
      <c r="Y2" s="143"/>
      <c r="Z2" s="143"/>
    </row>
    <row r="3" spans="1:26">
      <c r="A3" s="143" t="s">
        <v>18</v>
      </c>
      <c r="B3" s="143" t="s">
        <v>51</v>
      </c>
      <c r="C3" s="143"/>
      <c r="D3" s="151" t="s">
        <v>376</v>
      </c>
      <c r="E3" s="143"/>
      <c r="F3" s="143"/>
      <c r="G3" s="143"/>
      <c r="H3" s="143"/>
      <c r="I3" s="143"/>
      <c r="J3" s="143"/>
      <c r="K3" s="143"/>
      <c r="L3" s="143"/>
      <c r="M3" s="143"/>
      <c r="N3" s="143"/>
      <c r="O3" s="143"/>
      <c r="P3" s="143"/>
      <c r="Q3" s="143"/>
      <c r="R3" s="143"/>
      <c r="S3" s="143"/>
      <c r="T3" s="143"/>
      <c r="U3" s="143"/>
      <c r="V3" s="143"/>
      <c r="W3" s="143"/>
      <c r="X3" s="143"/>
      <c r="Y3" s="143"/>
      <c r="Z3" s="143"/>
    </row>
    <row r="4" spans="1:26" s="143" customFormat="1">
      <c r="A4" s="143" t="s">
        <v>18</v>
      </c>
      <c r="B4" s="143" t="s">
        <v>51</v>
      </c>
      <c r="D4" s="151" t="s">
        <v>409</v>
      </c>
    </row>
    <row r="5" spans="1:26" s="143" customFormat="1">
      <c r="A5" s="143" t="s">
        <v>18</v>
      </c>
      <c r="B5" s="143" t="s">
        <v>51</v>
      </c>
      <c r="D5" s="151" t="s">
        <v>401</v>
      </c>
    </row>
    <row r="6" spans="1:26" s="143" customFormat="1">
      <c r="A6" s="143" t="s">
        <v>18</v>
      </c>
      <c r="B6" s="143" t="s">
        <v>51</v>
      </c>
      <c r="D6" s="147" t="s">
        <v>448</v>
      </c>
    </row>
    <row r="7" spans="1:26" s="143" customFormat="1">
      <c r="A7" s="143" t="s">
        <v>18</v>
      </c>
      <c r="B7" s="143" t="s">
        <v>51</v>
      </c>
      <c r="D7" s="147" t="s">
        <v>502</v>
      </c>
    </row>
    <row r="8" spans="1:26" s="143" customFormat="1">
      <c r="A8" s="177" t="s">
        <v>18</v>
      </c>
      <c r="B8" s="177" t="s">
        <v>51</v>
      </c>
      <c r="C8" s="177"/>
      <c r="D8" s="181" t="s">
        <v>495</v>
      </c>
      <c r="E8" s="177"/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/>
      <c r="Y8" s="177"/>
      <c r="Z8" s="177"/>
    </row>
    <row r="9" spans="1:26" s="143" customFormat="1">
      <c r="A9" s="143" t="s">
        <v>18</v>
      </c>
      <c r="B9" s="143" t="s">
        <v>51</v>
      </c>
      <c r="D9" s="147" t="s">
        <v>554</v>
      </c>
    </row>
    <row r="10" spans="1:26" s="143" customFormat="1">
      <c r="A10" s="143" t="s">
        <v>18</v>
      </c>
      <c r="B10" s="143" t="s">
        <v>51</v>
      </c>
      <c r="D10" s="147" t="s">
        <v>469</v>
      </c>
    </row>
    <row r="11" spans="1:26" s="143" customFormat="1">
      <c r="A11" s="143" t="s">
        <v>18</v>
      </c>
      <c r="B11" s="143" t="s">
        <v>51</v>
      </c>
      <c r="D11" s="147" t="s">
        <v>513</v>
      </c>
    </row>
    <row r="12" spans="1:26" s="143" customFormat="1">
      <c r="A12" s="143" t="s">
        <v>18</v>
      </c>
      <c r="B12" s="143" t="s">
        <v>51</v>
      </c>
      <c r="D12" s="147" t="s">
        <v>565</v>
      </c>
    </row>
    <row r="13" spans="1:26" s="143" customFormat="1">
      <c r="A13" s="143" t="s">
        <v>18</v>
      </c>
      <c r="B13" s="143" t="s">
        <v>51</v>
      </c>
      <c r="D13" s="147" t="s">
        <v>615</v>
      </c>
    </row>
    <row r="14" spans="1:26" s="143" customFormat="1">
      <c r="A14" s="143" t="s">
        <v>18</v>
      </c>
      <c r="B14" s="143" t="s">
        <v>51</v>
      </c>
      <c r="D14" s="151" t="s">
        <v>598</v>
      </c>
    </row>
    <row r="15" spans="1:26" s="143" customFormat="1">
      <c r="A15" s="143" t="s">
        <v>18</v>
      </c>
      <c r="B15" s="143" t="s">
        <v>51</v>
      </c>
      <c r="D15" s="151"/>
    </row>
    <row r="16" spans="1:26" s="143" customFormat="1">
      <c r="B16" s="143" t="s">
        <v>51</v>
      </c>
      <c r="D16" s="151" t="s">
        <v>625</v>
      </c>
    </row>
    <row r="17" spans="1:26" s="143" customFormat="1">
      <c r="A17" s="143" t="s">
        <v>18</v>
      </c>
      <c r="B17" s="143" t="s">
        <v>51</v>
      </c>
      <c r="D17" s="147" t="s">
        <v>620</v>
      </c>
    </row>
    <row r="18" spans="1:26" s="143" customFormat="1">
      <c r="A18" s="143" t="s">
        <v>18</v>
      </c>
      <c r="B18" s="143" t="s">
        <v>51</v>
      </c>
      <c r="D18" s="147" t="s">
        <v>665</v>
      </c>
    </row>
    <row r="19" spans="1:26">
      <c r="A19" s="143" t="s">
        <v>18</v>
      </c>
      <c r="B19" s="143" t="s">
        <v>51</v>
      </c>
      <c r="C19" s="143"/>
      <c r="D19" s="147" t="s">
        <v>607</v>
      </c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</row>
    <row r="20" spans="1:26">
      <c r="A20" s="143" t="s">
        <v>18</v>
      </c>
      <c r="B20" s="143" t="s">
        <v>51</v>
      </c>
      <c r="C20" s="143"/>
      <c r="D20" s="147" t="s">
        <v>673</v>
      </c>
      <c r="E20" s="143"/>
      <c r="F20" s="143"/>
      <c r="G20" s="143"/>
      <c r="H20" s="143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</row>
    <row r="21" spans="1:26">
      <c r="A21" s="219" t="s">
        <v>18</v>
      </c>
      <c r="B21" s="219" t="s">
        <v>51</v>
      </c>
      <c r="C21" s="219"/>
      <c r="D21" s="222" t="s">
        <v>711</v>
      </c>
      <c r="E21" s="219"/>
      <c r="F21" s="219"/>
      <c r="G21" s="219"/>
      <c r="H21" s="219"/>
      <c r="I21" s="219"/>
      <c r="J21" s="219"/>
      <c r="K21" s="219"/>
      <c r="L21" s="219"/>
      <c r="M21" s="219"/>
      <c r="N21" s="219"/>
      <c r="O21" s="219"/>
      <c r="P21" s="219"/>
      <c r="Q21" s="219"/>
      <c r="R21" s="219"/>
      <c r="S21" s="219"/>
      <c r="T21" s="219"/>
      <c r="U21" s="219"/>
      <c r="V21" s="219"/>
      <c r="W21" s="219"/>
      <c r="X21" s="219"/>
      <c r="Y21" s="219"/>
      <c r="Z21" s="219"/>
    </row>
    <row r="22" spans="1:26">
      <c r="A22" s="225" t="s">
        <v>18</v>
      </c>
      <c r="B22" s="225" t="s">
        <v>51</v>
      </c>
      <c r="C22" s="225"/>
      <c r="D22" s="228" t="s">
        <v>683</v>
      </c>
      <c r="E22" s="225"/>
      <c r="F22" s="225"/>
      <c r="G22" s="225"/>
      <c r="H22" s="225"/>
      <c r="I22" s="225"/>
      <c r="J22" s="225"/>
      <c r="K22" s="225"/>
      <c r="L22" s="225"/>
      <c r="M22" s="225"/>
      <c r="N22" s="225"/>
      <c r="O22" s="225"/>
      <c r="P22" s="225"/>
      <c r="Q22" s="225"/>
      <c r="R22" s="225"/>
      <c r="S22" s="225"/>
      <c r="T22" s="225"/>
      <c r="U22" s="225"/>
      <c r="V22" s="225"/>
      <c r="W22" s="225"/>
      <c r="X22" s="225"/>
      <c r="Y22" s="225"/>
      <c r="Z22" s="225"/>
    </row>
    <row r="23" spans="1:26">
      <c r="A23" s="219" t="s">
        <v>18</v>
      </c>
      <c r="B23" s="219" t="s">
        <v>51</v>
      </c>
      <c r="C23" s="219"/>
      <c r="D23" s="222" t="s">
        <v>760</v>
      </c>
      <c r="E23" s="219"/>
      <c r="F23" s="219"/>
      <c r="G23" s="219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19"/>
      <c r="Z23" s="219"/>
    </row>
    <row r="24" spans="1:26">
      <c r="A24" s="143" t="s">
        <v>18</v>
      </c>
      <c r="B24" s="143" t="s">
        <v>51</v>
      </c>
      <c r="C24" s="143"/>
      <c r="D24" s="147" t="s">
        <v>721</v>
      </c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</row>
    <row r="25" spans="1:26">
      <c r="A25" s="143" t="s">
        <v>18</v>
      </c>
      <c r="B25" s="143" t="s">
        <v>51</v>
      </c>
      <c r="C25" s="143"/>
      <c r="D25" s="147" t="s">
        <v>764</v>
      </c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</row>
    <row r="26" spans="1:26">
      <c r="A26" s="143" t="s">
        <v>18</v>
      </c>
      <c r="B26" s="143" t="s">
        <v>51</v>
      </c>
      <c r="C26" s="143"/>
      <c r="D26" s="147" t="s">
        <v>815</v>
      </c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</row>
    <row r="27" spans="1:26">
      <c r="A27" s="143" t="s">
        <v>18</v>
      </c>
      <c r="B27" s="143" t="s">
        <v>51</v>
      </c>
      <c r="C27" s="143"/>
      <c r="D27" s="147" t="s">
        <v>881</v>
      </c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</row>
    <row r="28" spans="1:26" s="165" customFormat="1" ht="10.8" thickBot="1">
      <c r="A28" s="208" t="s">
        <v>884</v>
      </c>
      <c r="B28" s="208" t="s">
        <v>51</v>
      </c>
      <c r="C28" s="208"/>
      <c r="D28" s="211" t="s">
        <v>887</v>
      </c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</row>
    <row r="29" spans="1:26">
      <c r="A29" s="143" t="s">
        <v>18</v>
      </c>
      <c r="B29" s="143" t="s">
        <v>51</v>
      </c>
      <c r="C29" s="143"/>
      <c r="D29" s="147" t="s">
        <v>786</v>
      </c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</row>
    <row r="30" spans="1:26" ht="10.8" thickBot="1">
      <c r="A30" s="143" t="s">
        <v>18</v>
      </c>
      <c r="B30" s="143" t="s">
        <v>51</v>
      </c>
      <c r="C30" s="143"/>
      <c r="D30" s="147" t="s">
        <v>866</v>
      </c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</row>
    <row r="31" spans="1:26" s="143" customFormat="1">
      <c r="A31" s="168" t="s">
        <v>18</v>
      </c>
      <c r="B31" s="168" t="s">
        <v>51</v>
      </c>
      <c r="C31" s="168"/>
      <c r="D31" s="171" t="s">
        <v>940</v>
      </c>
    </row>
    <row r="32" spans="1:26" s="143" customFormat="1">
      <c r="A32" s="143" t="s">
        <v>18</v>
      </c>
      <c r="B32" s="143" t="s">
        <v>51</v>
      </c>
      <c r="D32" s="147" t="s">
        <v>859</v>
      </c>
    </row>
    <row r="33" spans="1:26" s="143" customFormat="1">
      <c r="A33" s="143" t="s">
        <v>18</v>
      </c>
      <c r="B33" s="143" t="s">
        <v>51</v>
      </c>
      <c r="D33" s="147" t="s">
        <v>958</v>
      </c>
    </row>
    <row r="34" spans="1:26" s="143" customFormat="1">
      <c r="A34" s="143" t="s">
        <v>18</v>
      </c>
      <c r="B34" s="143" t="s">
        <v>51</v>
      </c>
      <c r="D34" s="147" t="s">
        <v>930</v>
      </c>
    </row>
    <row r="35" spans="1:26" s="143" customFormat="1">
      <c r="A35" s="143" t="s">
        <v>18</v>
      </c>
      <c r="B35" s="143" t="s">
        <v>51</v>
      </c>
      <c r="D35" s="147"/>
    </row>
    <row r="36" spans="1:26" s="177" customFormat="1">
      <c r="A36" s="143"/>
      <c r="B36" s="143" t="s">
        <v>51</v>
      </c>
      <c r="C36" s="143"/>
      <c r="D36" s="147" t="s">
        <v>1050</v>
      </c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</row>
    <row r="37" spans="1:26" s="143" customFormat="1">
      <c r="A37" s="143" t="s">
        <v>18</v>
      </c>
      <c r="B37" s="143" t="s">
        <v>51</v>
      </c>
      <c r="D37" s="147" t="s">
        <v>1010</v>
      </c>
    </row>
    <row r="38" spans="1:26" s="143" customFormat="1">
      <c r="A38" s="143" t="s">
        <v>18</v>
      </c>
      <c r="B38" s="143" t="s">
        <v>51</v>
      </c>
      <c r="D38" s="147" t="s">
        <v>1112</v>
      </c>
    </row>
    <row r="39" spans="1:26" s="143" customFormat="1">
      <c r="A39" s="143" t="s">
        <v>18</v>
      </c>
      <c r="B39" s="143" t="s">
        <v>51</v>
      </c>
      <c r="D39" s="147" t="s">
        <v>1137</v>
      </c>
    </row>
    <row r="40" spans="1:26" s="143" customFormat="1">
      <c r="A40" s="143" t="s">
        <v>18</v>
      </c>
      <c r="B40" s="143" t="s">
        <v>51</v>
      </c>
      <c r="D40" s="147"/>
    </row>
    <row r="41" spans="1:26" s="143" customFormat="1">
      <c r="A41" s="143" t="s">
        <v>18</v>
      </c>
      <c r="B41" s="143" t="s">
        <v>1023</v>
      </c>
      <c r="D41" s="147" t="s">
        <v>1164</v>
      </c>
    </row>
    <row r="42" spans="1:26" s="143" customFormat="1">
      <c r="A42" s="143" t="s">
        <v>18</v>
      </c>
      <c r="B42" s="143" t="s">
        <v>1023</v>
      </c>
      <c r="D42" s="147" t="s">
        <v>1020</v>
      </c>
    </row>
    <row r="43" spans="1:26" s="143" customFormat="1">
      <c r="A43" s="143" t="s">
        <v>18</v>
      </c>
      <c r="B43" s="143" t="s">
        <v>51</v>
      </c>
      <c r="D43" s="147" t="s">
        <v>1179</v>
      </c>
    </row>
    <row r="44" spans="1:26" s="143" customFormat="1">
      <c r="A44" s="143" t="s">
        <v>18</v>
      </c>
      <c r="B44" s="143" t="s">
        <v>51</v>
      </c>
      <c r="D44" s="147"/>
    </row>
    <row r="45" spans="1:26" s="143" customFormat="1">
      <c r="A45" s="143" t="s">
        <v>18</v>
      </c>
      <c r="B45" s="143" t="s">
        <v>51</v>
      </c>
      <c r="D45" s="147" t="s">
        <v>1153</v>
      </c>
      <c r="E45" s="143" t="s">
        <v>1172</v>
      </c>
    </row>
    <row r="46" spans="1:26" s="143" customFormat="1">
      <c r="A46" s="143" t="s">
        <v>18</v>
      </c>
      <c r="B46" s="143" t="s">
        <v>51</v>
      </c>
      <c r="D46" s="147" t="s">
        <v>1191</v>
      </c>
    </row>
    <row r="47" spans="1:26" s="143" customFormat="1">
      <c r="A47" s="143" t="s">
        <v>18</v>
      </c>
      <c r="B47" s="143" t="s">
        <v>51</v>
      </c>
      <c r="D47" s="147" t="s">
        <v>1256</v>
      </c>
    </row>
    <row r="48" spans="1:26">
      <c r="A48" s="143" t="s">
        <v>18</v>
      </c>
      <c r="B48" s="143" t="s">
        <v>51</v>
      </c>
      <c r="C48" s="143"/>
      <c r="D48" s="147" t="s">
        <v>1243</v>
      </c>
      <c r="E48" s="143"/>
      <c r="F48" s="143"/>
      <c r="G48" s="143"/>
      <c r="H48" s="143"/>
      <c r="I48" s="143"/>
      <c r="J48" s="143"/>
      <c r="K48" s="143"/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</row>
    <row r="49" spans="1:26">
      <c r="A49" s="143" t="s">
        <v>18</v>
      </c>
      <c r="B49" s="143" t="s">
        <v>51</v>
      </c>
      <c r="C49" s="143"/>
      <c r="D49" s="147" t="s">
        <v>1290</v>
      </c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</row>
    <row r="50" spans="1:26">
      <c r="A50" s="143" t="s">
        <v>18</v>
      </c>
      <c r="B50" s="143" t="s">
        <v>51</v>
      </c>
      <c r="C50" s="143"/>
      <c r="D50" s="147" t="s">
        <v>1264</v>
      </c>
      <c r="E50" s="143"/>
      <c r="F50" s="143"/>
      <c r="G50" s="143"/>
      <c r="H50" s="143"/>
      <c r="I50" s="143"/>
      <c r="J50" s="143"/>
      <c r="K50" s="143"/>
      <c r="L50" s="143"/>
      <c r="M50" s="143"/>
      <c r="N50" s="143"/>
      <c r="O50" s="143"/>
      <c r="P50" s="143"/>
      <c r="Q50" s="143"/>
      <c r="R50" s="143"/>
      <c r="S50" s="143"/>
      <c r="T50" s="143"/>
      <c r="U50" s="143"/>
      <c r="V50" s="143"/>
      <c r="W50" s="143"/>
      <c r="X50" s="143"/>
      <c r="Y50" s="143"/>
      <c r="Z50" s="143"/>
    </row>
    <row r="51" spans="1:26">
      <c r="A51" s="143" t="s">
        <v>18</v>
      </c>
      <c r="B51" s="143" t="s">
        <v>51</v>
      </c>
      <c r="C51" s="143"/>
      <c r="D51" s="147" t="s">
        <v>1215</v>
      </c>
      <c r="E51" s="143"/>
      <c r="F51" s="143"/>
      <c r="G51" s="143"/>
      <c r="H51" s="143"/>
      <c r="I51" s="143"/>
      <c r="J51" s="143"/>
      <c r="K51" s="143"/>
      <c r="L51" s="143"/>
      <c r="M51" s="143"/>
      <c r="N51" s="143"/>
      <c r="O51" s="143"/>
      <c r="P51" s="143"/>
      <c r="Q51" s="143"/>
      <c r="R51" s="143"/>
      <c r="S51" s="143"/>
      <c r="T51" s="143"/>
      <c r="U51" s="143"/>
      <c r="V51" s="143"/>
      <c r="W51" s="143"/>
      <c r="X51" s="143"/>
      <c r="Y51" s="143"/>
      <c r="Z51" s="143"/>
    </row>
    <row r="52" spans="1:26">
      <c r="A52" s="143" t="s">
        <v>168</v>
      </c>
      <c r="B52" s="143" t="s">
        <v>51</v>
      </c>
      <c r="C52" s="143"/>
      <c r="D52" s="147" t="s">
        <v>1274</v>
      </c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</row>
    <row r="53" spans="1:26" ht="13.2">
      <c r="A53" s="143" t="s">
        <v>168</v>
      </c>
      <c r="B53" s="143" t="s">
        <v>51</v>
      </c>
      <c r="C53" s="143"/>
      <c r="D53" s="253" t="s">
        <v>1299</v>
      </c>
      <c r="E53" s="143"/>
      <c r="F53" s="143"/>
      <c r="G53" s="143"/>
      <c r="H53" s="143"/>
      <c r="I53" s="143"/>
      <c r="J53" s="143"/>
      <c r="K53" s="143"/>
      <c r="L53" s="143"/>
      <c r="M53" s="143"/>
      <c r="N53" s="143"/>
      <c r="O53" s="143"/>
      <c r="P53" s="143"/>
      <c r="Q53" s="143"/>
      <c r="R53" s="143"/>
      <c r="S53" s="143"/>
      <c r="T53" s="143"/>
      <c r="U53" s="143"/>
      <c r="V53" s="143"/>
      <c r="W53" s="143"/>
      <c r="X53" s="143"/>
      <c r="Y53" s="143"/>
      <c r="Z53" s="143"/>
    </row>
    <row r="54" spans="1:26">
      <c r="A54" s="271" t="s">
        <v>168</v>
      </c>
      <c r="B54" s="271" t="s">
        <v>51</v>
      </c>
      <c r="C54" s="271"/>
      <c r="D54" s="274" t="s">
        <v>776</v>
      </c>
      <c r="E54" s="271"/>
      <c r="F54" s="271"/>
      <c r="G54" s="271"/>
      <c r="H54" s="271"/>
      <c r="I54" s="271"/>
      <c r="J54" s="271"/>
      <c r="K54" s="271"/>
      <c r="L54" s="271"/>
      <c r="M54" s="271"/>
      <c r="N54" s="271"/>
      <c r="O54" s="271"/>
      <c r="P54" s="271"/>
      <c r="Q54" s="271"/>
      <c r="R54" s="271"/>
      <c r="S54" s="271"/>
      <c r="T54" s="271"/>
      <c r="U54" s="271"/>
      <c r="V54" s="271"/>
      <c r="W54" s="271"/>
      <c r="X54" s="271"/>
      <c r="Y54" s="271"/>
      <c r="Z54" s="271"/>
    </row>
    <row r="55" spans="1:26" ht="13.8" thickBot="1">
      <c r="A55" s="208" t="s">
        <v>18</v>
      </c>
      <c r="B55" s="208" t="s">
        <v>51</v>
      </c>
      <c r="C55" s="208"/>
      <c r="D55" s="430" t="s">
        <v>1336</v>
      </c>
      <c r="E55" s="143"/>
      <c r="F55" s="143"/>
      <c r="G55" s="143"/>
      <c r="H55" s="143"/>
      <c r="I55" s="143"/>
      <c r="J55" s="143"/>
      <c r="K55" s="143"/>
      <c r="L55" s="143"/>
      <c r="M55" s="143"/>
      <c r="N55" s="143"/>
      <c r="O55" s="143"/>
      <c r="P55" s="143"/>
      <c r="Q55" s="143"/>
      <c r="R55" s="143"/>
      <c r="S55" s="143"/>
      <c r="T55" s="143"/>
      <c r="U55" s="143"/>
      <c r="V55" s="143"/>
      <c r="W55" s="143"/>
      <c r="X55" s="143"/>
      <c r="Y55" s="143"/>
      <c r="Z55" s="143"/>
    </row>
    <row r="56" spans="1:26" ht="13.2">
      <c r="A56" s="143" t="s">
        <v>18</v>
      </c>
      <c r="B56" s="143" t="s">
        <v>51</v>
      </c>
      <c r="C56" s="143"/>
      <c r="D56" s="253" t="s">
        <v>1339</v>
      </c>
      <c r="E56" s="143"/>
      <c r="F56" s="143"/>
      <c r="G56" s="143"/>
      <c r="H56" s="143"/>
      <c r="I56" s="143"/>
      <c r="J56" s="143"/>
      <c r="K56" s="143"/>
      <c r="L56" s="143"/>
      <c r="M56" s="143"/>
      <c r="N56" s="143"/>
      <c r="O56" s="143"/>
      <c r="P56" s="143"/>
      <c r="Q56" s="143"/>
      <c r="R56" s="143"/>
      <c r="S56" s="143"/>
      <c r="T56" s="143"/>
      <c r="U56" s="143"/>
      <c r="V56" s="143"/>
      <c r="W56" s="143"/>
      <c r="X56" s="143"/>
      <c r="Y56" s="143"/>
      <c r="Z56" s="143"/>
    </row>
    <row r="57" spans="1:26" ht="13.8" thickBot="1">
      <c r="A57" s="143" t="s">
        <v>18</v>
      </c>
      <c r="B57" s="143" t="s">
        <v>51</v>
      </c>
      <c r="C57" s="143"/>
      <c r="D57" s="253" t="s">
        <v>1369</v>
      </c>
      <c r="E57" s="143"/>
      <c r="F57" s="143"/>
      <c r="G57" s="143"/>
      <c r="H57" s="143"/>
      <c r="I57" s="143"/>
      <c r="J57" s="143"/>
      <c r="K57" s="143"/>
      <c r="L57" s="143"/>
      <c r="M57" s="143"/>
      <c r="N57" s="143"/>
      <c r="O57" s="143"/>
      <c r="P57" s="143"/>
      <c r="Q57" s="143"/>
      <c r="R57" s="143"/>
      <c r="S57" s="143"/>
      <c r="T57" s="143"/>
      <c r="U57" s="143"/>
      <c r="V57" s="143"/>
      <c r="W57" s="143"/>
      <c r="X57" s="143"/>
      <c r="Y57" s="143"/>
      <c r="Z57" s="143"/>
    </row>
    <row r="58" spans="1:26" ht="13.2">
      <c r="A58" s="168" t="s">
        <v>18</v>
      </c>
      <c r="B58" s="168" t="s">
        <v>51</v>
      </c>
      <c r="C58" s="168"/>
      <c r="D58" s="426" t="s">
        <v>1425</v>
      </c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</row>
    <row r="59" spans="1:26" s="143" customFormat="1" ht="13.2">
      <c r="A59" s="143" t="s">
        <v>18</v>
      </c>
      <c r="B59" s="143" t="s">
        <v>51</v>
      </c>
      <c r="D59" s="253" t="s">
        <v>1311</v>
      </c>
    </row>
    <row r="60" spans="1:26" s="143" customFormat="1" ht="13.2">
      <c r="A60" s="143" t="s">
        <v>18</v>
      </c>
      <c r="B60" s="143" t="s">
        <v>51</v>
      </c>
      <c r="D60" s="253" t="s">
        <v>1381</v>
      </c>
    </row>
    <row r="61" spans="1:26" s="143" customFormat="1" ht="13.2">
      <c r="A61" s="143" t="s">
        <v>18</v>
      </c>
      <c r="B61" s="143" t="s">
        <v>51</v>
      </c>
      <c r="D61" s="253" t="s">
        <v>1320</v>
      </c>
    </row>
    <row r="62" spans="1:26" s="143" customFormat="1" ht="13.2">
      <c r="A62" s="225" t="s">
        <v>18</v>
      </c>
      <c r="B62" s="225" t="s">
        <v>51</v>
      </c>
      <c r="C62" s="225"/>
      <c r="D62" s="370" t="s">
        <v>1881</v>
      </c>
      <c r="E62" s="225"/>
      <c r="F62" s="225"/>
      <c r="G62" s="225"/>
      <c r="H62" s="225"/>
      <c r="I62" s="225"/>
      <c r="J62" s="225"/>
      <c r="K62" s="225"/>
      <c r="L62" s="225"/>
      <c r="M62" s="225"/>
      <c r="N62" s="225"/>
      <c r="O62" s="225"/>
      <c r="P62" s="225"/>
      <c r="Q62" s="225"/>
      <c r="R62" s="225"/>
      <c r="S62" s="225"/>
      <c r="T62" s="225"/>
      <c r="U62" s="225"/>
      <c r="V62" s="225"/>
      <c r="W62" s="225"/>
      <c r="X62" s="225"/>
      <c r="Y62" s="225"/>
      <c r="Z62" s="225"/>
    </row>
    <row r="63" spans="1:26" s="143" customFormat="1" ht="13.2">
      <c r="A63" s="143" t="s">
        <v>18</v>
      </c>
      <c r="B63" s="143" t="s">
        <v>51</v>
      </c>
      <c r="D63" s="253" t="s">
        <v>1419</v>
      </c>
    </row>
    <row r="64" spans="1:26" s="143" customFormat="1" ht="13.2">
      <c r="A64" s="143" t="s">
        <v>18</v>
      </c>
      <c r="B64" s="143" t="s">
        <v>51</v>
      </c>
      <c r="D64" s="253" t="s">
        <v>1440</v>
      </c>
    </row>
    <row r="65" spans="1:26" s="143" customFormat="1" ht="13.2">
      <c r="A65" s="143" t="s">
        <v>18</v>
      </c>
      <c r="B65" s="143" t="s">
        <v>51</v>
      </c>
      <c r="D65" s="253" t="s">
        <v>1459</v>
      </c>
    </row>
    <row r="66" spans="1:26" s="143" customFormat="1" ht="13.2">
      <c r="A66" s="291" t="s">
        <v>18</v>
      </c>
      <c r="B66" s="291" t="s">
        <v>51</v>
      </c>
      <c r="C66" s="291"/>
      <c r="D66" s="294" t="s">
        <v>1667</v>
      </c>
      <c r="E66" s="291"/>
      <c r="F66" s="291"/>
      <c r="G66" s="291"/>
      <c r="H66" s="291"/>
      <c r="I66" s="291"/>
      <c r="J66" s="291"/>
      <c r="K66" s="291"/>
      <c r="L66" s="291"/>
      <c r="M66" s="291"/>
      <c r="N66" s="291"/>
      <c r="O66" s="291"/>
      <c r="P66" s="291"/>
      <c r="Q66" s="291"/>
      <c r="R66" s="291"/>
      <c r="S66" s="291"/>
      <c r="T66" s="291"/>
      <c r="U66" s="291"/>
      <c r="V66" s="291"/>
      <c r="W66" s="291"/>
      <c r="X66" s="291"/>
      <c r="Y66" s="291"/>
      <c r="Z66" s="291"/>
    </row>
    <row r="67" spans="1:26" s="143" customFormat="1" ht="13.2">
      <c r="A67" s="291" t="s">
        <v>168</v>
      </c>
      <c r="B67" s="291" t="s">
        <v>51</v>
      </c>
      <c r="C67" s="291"/>
      <c r="D67" s="294" t="s">
        <v>1506</v>
      </c>
      <c r="E67" s="291"/>
      <c r="F67" s="291"/>
      <c r="G67" s="291"/>
      <c r="H67" s="291"/>
      <c r="I67" s="291"/>
      <c r="J67" s="291"/>
      <c r="K67" s="291"/>
      <c r="L67" s="291"/>
      <c r="M67" s="291"/>
      <c r="N67" s="291"/>
      <c r="O67" s="291"/>
      <c r="P67" s="291"/>
      <c r="Q67" s="291"/>
      <c r="R67" s="291"/>
      <c r="S67" s="291"/>
      <c r="T67" s="291"/>
      <c r="U67" s="291"/>
      <c r="V67" s="291"/>
      <c r="W67" s="291"/>
      <c r="X67" s="291"/>
      <c r="Y67" s="291"/>
      <c r="Z67" s="291"/>
    </row>
    <row r="68" spans="1:26" s="143" customFormat="1" ht="13.2">
      <c r="A68" s="291" t="s">
        <v>168</v>
      </c>
      <c r="B68" s="291" t="s">
        <v>51</v>
      </c>
      <c r="C68" s="291"/>
      <c r="D68" s="294" t="s">
        <v>1484</v>
      </c>
      <c r="E68" s="291"/>
      <c r="F68" s="291"/>
      <c r="G68" s="291"/>
      <c r="H68" s="291"/>
      <c r="I68" s="291"/>
      <c r="J68" s="291"/>
      <c r="K68" s="291"/>
      <c r="L68" s="291"/>
      <c r="M68" s="291"/>
      <c r="N68" s="291"/>
      <c r="O68" s="291"/>
      <c r="P68" s="291"/>
      <c r="Q68" s="291"/>
      <c r="R68" s="291"/>
      <c r="S68" s="291"/>
      <c r="T68" s="291"/>
      <c r="U68" s="291"/>
      <c r="V68" s="291"/>
      <c r="W68" s="291"/>
      <c r="X68" s="291"/>
      <c r="Y68" s="291"/>
      <c r="Z68" s="291"/>
    </row>
    <row r="69" spans="1:26" s="143" customFormat="1" ht="13.2">
      <c r="A69" s="291" t="s">
        <v>18</v>
      </c>
      <c r="B69" s="291" t="s">
        <v>51</v>
      </c>
      <c r="C69" s="291"/>
      <c r="D69" s="294" t="s">
        <v>1468</v>
      </c>
      <c r="E69" s="291"/>
      <c r="F69" s="291"/>
      <c r="G69" s="291"/>
      <c r="H69" s="291"/>
      <c r="I69" s="291"/>
      <c r="J69" s="291"/>
      <c r="K69" s="291"/>
      <c r="L69" s="291"/>
      <c r="M69" s="291"/>
      <c r="N69" s="291"/>
      <c r="O69" s="291"/>
      <c r="P69" s="291"/>
      <c r="Q69" s="291"/>
      <c r="R69" s="291"/>
      <c r="S69" s="291"/>
      <c r="T69" s="291"/>
      <c r="U69" s="291"/>
      <c r="V69" s="291"/>
      <c r="W69" s="291"/>
      <c r="X69" s="291"/>
      <c r="Y69" s="291"/>
      <c r="Z69" s="291"/>
    </row>
    <row r="70" spans="1:26" s="143" customFormat="1" ht="13.2">
      <c r="A70" s="291" t="s">
        <v>18</v>
      </c>
      <c r="B70" s="291" t="s">
        <v>51</v>
      </c>
      <c r="C70" s="291"/>
      <c r="D70" s="294" t="s">
        <v>1587</v>
      </c>
      <c r="E70" s="291"/>
      <c r="F70" s="291"/>
      <c r="G70" s="291"/>
      <c r="H70" s="291"/>
      <c r="I70" s="291"/>
      <c r="J70" s="291"/>
      <c r="K70" s="291"/>
      <c r="L70" s="291"/>
      <c r="M70" s="291"/>
      <c r="N70" s="291"/>
      <c r="O70" s="291"/>
      <c r="P70" s="291"/>
      <c r="Q70" s="291"/>
      <c r="R70" s="291"/>
      <c r="S70" s="291"/>
      <c r="T70" s="291"/>
      <c r="U70" s="291"/>
      <c r="V70" s="291"/>
      <c r="W70" s="291"/>
      <c r="X70" s="291"/>
      <c r="Y70" s="291"/>
      <c r="Z70" s="291"/>
    </row>
    <row r="71" spans="1:26" s="143" customFormat="1" ht="13.2">
      <c r="A71" s="291" t="s">
        <v>18</v>
      </c>
      <c r="B71" s="291" t="s">
        <v>51</v>
      </c>
      <c r="C71" s="291"/>
      <c r="D71" s="299" t="s">
        <v>1499</v>
      </c>
      <c r="E71" s="291"/>
      <c r="F71" s="291"/>
      <c r="G71" s="291"/>
      <c r="H71" s="291"/>
      <c r="I71" s="291"/>
      <c r="J71" s="291"/>
      <c r="K71" s="291"/>
      <c r="L71" s="291"/>
      <c r="M71" s="291"/>
      <c r="N71" s="291"/>
      <c r="O71" s="291"/>
      <c r="P71" s="291"/>
      <c r="Q71" s="291"/>
      <c r="R71" s="291"/>
      <c r="S71" s="291"/>
      <c r="T71" s="291"/>
      <c r="U71" s="291"/>
      <c r="V71" s="291"/>
      <c r="W71" s="291"/>
      <c r="X71" s="291"/>
      <c r="Y71" s="291"/>
      <c r="Z71" s="291"/>
    </row>
    <row r="72" spans="1:26" s="143" customFormat="1" ht="13.2">
      <c r="A72" s="291" t="s">
        <v>18</v>
      </c>
      <c r="B72" s="291" t="s">
        <v>51</v>
      </c>
      <c r="C72" s="291"/>
      <c r="D72" s="294" t="s">
        <v>1515</v>
      </c>
      <c r="E72" s="291"/>
      <c r="F72" s="291"/>
      <c r="G72" s="291"/>
      <c r="H72" s="291"/>
      <c r="I72" s="291"/>
      <c r="J72" s="291"/>
      <c r="K72" s="291"/>
      <c r="L72" s="291"/>
      <c r="M72" s="291"/>
      <c r="N72" s="291"/>
      <c r="O72" s="291"/>
      <c r="P72" s="291"/>
      <c r="Q72" s="291"/>
      <c r="R72" s="291"/>
      <c r="S72" s="291"/>
      <c r="T72" s="291"/>
      <c r="U72" s="291"/>
      <c r="V72" s="291"/>
      <c r="W72" s="291"/>
      <c r="X72" s="291"/>
      <c r="Y72" s="291"/>
      <c r="Z72" s="291"/>
    </row>
    <row r="73" spans="1:26" s="143" customFormat="1" ht="13.8" thickBot="1">
      <c r="A73" s="425" t="s">
        <v>18</v>
      </c>
      <c r="B73" s="425" t="s">
        <v>51</v>
      </c>
      <c r="C73" s="425"/>
      <c r="D73" s="429" t="s">
        <v>1590</v>
      </c>
      <c r="E73" s="291"/>
      <c r="F73" s="291"/>
      <c r="G73" s="291"/>
      <c r="H73" s="291"/>
      <c r="I73" s="291"/>
      <c r="J73" s="291"/>
      <c r="K73" s="291"/>
      <c r="L73" s="291"/>
      <c r="M73" s="291"/>
      <c r="N73" s="291"/>
      <c r="O73" s="291"/>
      <c r="P73" s="291"/>
      <c r="Q73" s="291"/>
      <c r="R73" s="291"/>
      <c r="S73" s="291"/>
      <c r="T73" s="291"/>
      <c r="U73" s="291"/>
      <c r="V73" s="291"/>
      <c r="W73" s="291"/>
      <c r="X73" s="291"/>
      <c r="Y73" s="291"/>
      <c r="Z73" s="291"/>
    </row>
    <row r="74" spans="1:26" ht="13.2">
      <c r="A74" s="302" t="s">
        <v>18</v>
      </c>
      <c r="B74" s="302" t="s">
        <v>51</v>
      </c>
      <c r="C74" s="302"/>
      <c r="D74" s="306" t="s">
        <v>1615</v>
      </c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</row>
    <row r="75" spans="1:26" ht="13.2">
      <c r="A75" s="291" t="s">
        <v>18</v>
      </c>
      <c r="B75" s="291" t="s">
        <v>51</v>
      </c>
      <c r="C75" s="291"/>
      <c r="D75" s="294" t="s">
        <v>1613</v>
      </c>
      <c r="E75" s="291"/>
      <c r="F75" s="291"/>
      <c r="G75" s="291"/>
      <c r="H75" s="291"/>
      <c r="I75" s="291"/>
      <c r="J75" s="291"/>
      <c r="K75" s="291"/>
      <c r="L75" s="291"/>
      <c r="M75" s="291"/>
      <c r="N75" s="291"/>
      <c r="O75" s="291"/>
      <c r="P75" s="291"/>
      <c r="Q75" s="291"/>
      <c r="R75" s="291"/>
      <c r="S75" s="291"/>
      <c r="T75" s="291"/>
      <c r="U75" s="291"/>
      <c r="V75" s="291"/>
      <c r="W75" s="291"/>
      <c r="X75" s="291"/>
      <c r="Y75" s="291"/>
      <c r="Z75" s="291"/>
    </row>
    <row r="76" spans="1:26" ht="13.2">
      <c r="A76" s="310" t="s">
        <v>18</v>
      </c>
      <c r="B76" s="310" t="s">
        <v>51</v>
      </c>
      <c r="C76" s="310"/>
      <c r="D76" s="264"/>
      <c r="E76" s="310"/>
      <c r="F76" s="310"/>
      <c r="G76" s="310"/>
      <c r="H76" s="310"/>
      <c r="I76" s="310"/>
      <c r="J76" s="310"/>
      <c r="K76" s="310"/>
      <c r="L76" s="310"/>
      <c r="M76" s="310"/>
      <c r="N76" s="310"/>
      <c r="O76" s="310"/>
      <c r="P76" s="310"/>
      <c r="Q76" s="310"/>
      <c r="R76" s="310"/>
      <c r="S76" s="310"/>
      <c r="T76" s="310"/>
      <c r="U76" s="310"/>
      <c r="V76" s="310"/>
      <c r="W76" s="310"/>
      <c r="X76" s="310"/>
      <c r="Y76" s="310"/>
      <c r="Z76" s="310"/>
    </row>
    <row r="77" spans="1:26" ht="13.2">
      <c r="A77" s="317" t="s">
        <v>18</v>
      </c>
      <c r="B77" s="317" t="s">
        <v>51</v>
      </c>
      <c r="C77" s="317"/>
      <c r="D77" s="320"/>
      <c r="E77" s="317"/>
      <c r="F77" s="317"/>
      <c r="G77" s="317"/>
      <c r="H77" s="317"/>
      <c r="I77" s="317"/>
      <c r="J77" s="317"/>
      <c r="K77" s="317"/>
      <c r="L77" s="317"/>
      <c r="M77" s="317"/>
      <c r="N77" s="317"/>
      <c r="O77" s="317"/>
      <c r="P77" s="317"/>
      <c r="Q77" s="317"/>
      <c r="R77" s="317"/>
      <c r="S77" s="317"/>
      <c r="T77" s="317"/>
      <c r="U77" s="317"/>
      <c r="V77" s="317"/>
      <c r="W77" s="317"/>
      <c r="X77" s="317"/>
      <c r="Y77" s="317"/>
      <c r="Z77" s="317"/>
    </row>
    <row r="78" spans="1:26" ht="13.2">
      <c r="A78" s="302" t="s">
        <v>18</v>
      </c>
      <c r="B78" s="302" t="s">
        <v>51</v>
      </c>
      <c r="C78" s="302"/>
      <c r="D78" s="306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</row>
    <row r="79" spans="1:26" ht="13.2">
      <c r="A79" s="291" t="s">
        <v>18</v>
      </c>
      <c r="B79" s="291" t="s">
        <v>51</v>
      </c>
      <c r="C79" s="291"/>
      <c r="D79" s="294" t="s">
        <v>1639</v>
      </c>
      <c r="E79" s="291"/>
      <c r="F79" s="291"/>
      <c r="G79" s="291"/>
      <c r="H79" s="291"/>
      <c r="I79" s="291"/>
      <c r="J79" s="291"/>
      <c r="K79" s="291"/>
      <c r="L79" s="291"/>
      <c r="M79" s="291"/>
      <c r="N79" s="291"/>
      <c r="O79" s="291"/>
      <c r="P79" s="291"/>
      <c r="Q79" s="291"/>
      <c r="R79" s="291"/>
      <c r="S79" s="291"/>
      <c r="T79" s="291"/>
      <c r="U79" s="291"/>
      <c r="V79" s="291"/>
      <c r="W79" s="291"/>
      <c r="X79" s="291"/>
      <c r="Y79" s="291"/>
      <c r="Z79" s="291"/>
    </row>
    <row r="80" spans="1:26" ht="13.2">
      <c r="A80" s="291" t="s">
        <v>18</v>
      </c>
      <c r="B80" s="291" t="s">
        <v>51</v>
      </c>
      <c r="C80" s="291"/>
      <c r="D80" s="294" t="s">
        <v>1652</v>
      </c>
      <c r="E80" s="291"/>
      <c r="F80" s="291"/>
      <c r="G80" s="291"/>
      <c r="H80" s="291"/>
      <c r="I80" s="291"/>
      <c r="J80" s="291"/>
      <c r="K80" s="291"/>
      <c r="L80" s="291"/>
      <c r="M80" s="291"/>
      <c r="N80" s="291"/>
      <c r="O80" s="291"/>
      <c r="P80" s="291"/>
      <c r="Q80" s="291"/>
      <c r="R80" s="291"/>
      <c r="S80" s="291"/>
      <c r="T80" s="291"/>
      <c r="U80" s="291"/>
      <c r="V80" s="291"/>
      <c r="W80" s="291"/>
      <c r="X80" s="291"/>
      <c r="Y80" s="291"/>
      <c r="Z80" s="291"/>
    </row>
    <row r="81" spans="1:26" ht="13.2">
      <c r="A81" s="291" t="s">
        <v>18</v>
      </c>
      <c r="B81" s="291" t="s">
        <v>51</v>
      </c>
      <c r="C81" s="291"/>
      <c r="D81" s="294" t="s">
        <v>1735</v>
      </c>
      <c r="E81" s="291"/>
      <c r="F81" s="291"/>
      <c r="G81" s="291"/>
      <c r="H81" s="291"/>
      <c r="I81" s="291"/>
      <c r="J81" s="291"/>
      <c r="K81" s="291"/>
      <c r="L81" s="291"/>
      <c r="M81" s="291"/>
      <c r="N81" s="291"/>
      <c r="O81" s="291"/>
      <c r="P81" s="291"/>
      <c r="Q81" s="291"/>
      <c r="R81" s="291"/>
      <c r="S81" s="291"/>
      <c r="T81" s="291"/>
      <c r="U81" s="291"/>
      <c r="V81" s="291"/>
      <c r="W81" s="291"/>
      <c r="X81" s="291"/>
      <c r="Y81" s="291"/>
      <c r="Z81" s="291"/>
    </row>
    <row r="82" spans="1:26" ht="13.2">
      <c r="A82" s="291" t="s">
        <v>1662</v>
      </c>
      <c r="B82" s="291" t="s">
        <v>51</v>
      </c>
      <c r="C82" s="291"/>
      <c r="D82" s="294" t="s">
        <v>1761</v>
      </c>
      <c r="E82" s="291"/>
      <c r="F82" s="291"/>
      <c r="G82" s="291"/>
      <c r="H82" s="291"/>
      <c r="I82" s="291"/>
      <c r="J82" s="291"/>
      <c r="K82" s="291"/>
      <c r="L82" s="291"/>
      <c r="M82" s="291"/>
      <c r="N82" s="291"/>
      <c r="O82" s="291"/>
      <c r="P82" s="291"/>
      <c r="Q82" s="291"/>
      <c r="R82" s="291"/>
      <c r="S82" s="291"/>
      <c r="T82" s="291"/>
      <c r="U82" s="291"/>
      <c r="V82" s="291"/>
      <c r="W82" s="291"/>
      <c r="X82" s="291"/>
      <c r="Y82" s="291"/>
      <c r="Z82" s="291"/>
    </row>
    <row r="83" spans="1:26" ht="13.2">
      <c r="A83" s="291" t="s">
        <v>18</v>
      </c>
      <c r="B83" s="291" t="s">
        <v>1023</v>
      </c>
      <c r="C83" s="291"/>
      <c r="D83" s="194" t="s">
        <v>1737</v>
      </c>
      <c r="E83" s="291"/>
      <c r="F83" s="291"/>
      <c r="G83" s="291"/>
      <c r="H83" s="291"/>
      <c r="I83" s="291"/>
      <c r="J83" s="291"/>
      <c r="K83" s="291"/>
      <c r="L83" s="291"/>
      <c r="M83" s="291"/>
      <c r="N83" s="291"/>
      <c r="O83" s="291"/>
      <c r="P83" s="291"/>
      <c r="Q83" s="291"/>
      <c r="R83" s="291"/>
      <c r="S83" s="291"/>
      <c r="T83" s="291"/>
      <c r="U83" s="291"/>
      <c r="V83" s="291"/>
      <c r="W83" s="291"/>
      <c r="X83" s="291"/>
      <c r="Y83" s="291"/>
      <c r="Z83" s="291"/>
    </row>
    <row r="84" spans="1:26" ht="13.2">
      <c r="A84" s="291" t="s">
        <v>18</v>
      </c>
      <c r="B84" s="291" t="s">
        <v>51</v>
      </c>
      <c r="C84" s="291"/>
      <c r="D84" s="294" t="s">
        <v>1649</v>
      </c>
      <c r="E84" s="291"/>
      <c r="F84" s="291"/>
      <c r="G84" s="291"/>
      <c r="H84" s="291"/>
      <c r="I84" s="291"/>
      <c r="J84" s="291"/>
      <c r="K84" s="291"/>
      <c r="L84" s="291"/>
      <c r="M84" s="291"/>
      <c r="N84" s="291"/>
      <c r="O84" s="291"/>
      <c r="P84" s="291"/>
      <c r="Q84" s="291"/>
      <c r="R84" s="291"/>
      <c r="S84" s="291"/>
      <c r="T84" s="291"/>
      <c r="U84" s="291"/>
      <c r="V84" s="291"/>
      <c r="W84" s="291"/>
      <c r="X84" s="291"/>
      <c r="Y84" s="291"/>
      <c r="Z84" s="291"/>
    </row>
    <row r="85" spans="1:26" ht="13.2">
      <c r="A85" s="291" t="s">
        <v>18</v>
      </c>
      <c r="B85" s="291" t="s">
        <v>1023</v>
      </c>
      <c r="C85" s="291"/>
      <c r="D85" s="294" t="s">
        <v>1751</v>
      </c>
      <c r="E85" s="291"/>
      <c r="F85" s="291"/>
      <c r="G85" s="291"/>
      <c r="H85" s="291"/>
      <c r="I85" s="291"/>
      <c r="J85" s="291"/>
      <c r="K85" s="291"/>
      <c r="L85" s="291"/>
      <c r="M85" s="291"/>
      <c r="N85" s="291"/>
      <c r="O85" s="291"/>
      <c r="P85" s="291"/>
      <c r="Q85" s="291"/>
      <c r="R85" s="291"/>
      <c r="S85" s="291"/>
      <c r="T85" s="291"/>
      <c r="U85" s="291"/>
      <c r="V85" s="291"/>
      <c r="W85" s="291"/>
      <c r="X85" s="291"/>
      <c r="Y85" s="291"/>
      <c r="Z85" s="291"/>
    </row>
    <row r="86" spans="1:26" ht="13.2">
      <c r="A86" s="291" t="s">
        <v>1674</v>
      </c>
      <c r="B86" s="291" t="s">
        <v>1023</v>
      </c>
      <c r="C86" s="291"/>
      <c r="D86" s="294" t="s">
        <v>1676</v>
      </c>
      <c r="E86" s="291"/>
      <c r="F86" s="291"/>
      <c r="G86" s="291"/>
      <c r="H86" s="291"/>
      <c r="I86" s="291"/>
      <c r="J86" s="291"/>
      <c r="K86" s="291"/>
      <c r="L86" s="291"/>
      <c r="M86" s="291"/>
      <c r="N86" s="291"/>
      <c r="O86" s="291"/>
      <c r="P86" s="291"/>
      <c r="Q86" s="291"/>
      <c r="R86" s="291"/>
      <c r="S86" s="291"/>
      <c r="T86" s="291"/>
      <c r="U86" s="291"/>
      <c r="V86" s="291"/>
      <c r="W86" s="291"/>
      <c r="X86" s="291"/>
      <c r="Y86" s="291"/>
      <c r="Z86" s="291"/>
    </row>
    <row r="87" spans="1:26" ht="13.2">
      <c r="A87" s="291" t="s">
        <v>18</v>
      </c>
      <c r="B87" s="291" t="s">
        <v>51</v>
      </c>
      <c r="C87" s="291"/>
      <c r="D87" s="294" t="s">
        <v>1690</v>
      </c>
      <c r="E87" s="291"/>
      <c r="F87" s="291"/>
      <c r="G87" s="291"/>
      <c r="H87" s="291"/>
      <c r="I87" s="291"/>
      <c r="J87" s="291"/>
      <c r="K87" s="291"/>
      <c r="L87" s="291"/>
      <c r="M87" s="291"/>
      <c r="N87" s="291"/>
      <c r="O87" s="291"/>
      <c r="P87" s="291"/>
      <c r="Q87" s="291"/>
      <c r="R87" s="291"/>
      <c r="S87" s="291"/>
      <c r="T87" s="291"/>
      <c r="U87" s="291"/>
      <c r="V87" s="291"/>
      <c r="W87" s="291"/>
      <c r="X87" s="291"/>
      <c r="Y87" s="291"/>
      <c r="Z87" s="291"/>
    </row>
    <row r="88" spans="1:26" s="219" customFormat="1" ht="13.2">
      <c r="A88" s="291" t="s">
        <v>18</v>
      </c>
      <c r="B88" s="291" t="s">
        <v>51</v>
      </c>
      <c r="C88" s="291"/>
      <c r="D88" s="294" t="s">
        <v>1712</v>
      </c>
      <c r="E88" s="291"/>
      <c r="F88" s="291"/>
      <c r="G88" s="291"/>
      <c r="H88" s="291"/>
      <c r="I88" s="291"/>
      <c r="J88" s="291"/>
      <c r="K88" s="291"/>
      <c r="L88" s="291"/>
      <c r="M88" s="291"/>
      <c r="N88" s="291"/>
      <c r="O88" s="291"/>
      <c r="P88" s="291"/>
      <c r="Q88" s="291"/>
      <c r="R88" s="291"/>
      <c r="S88" s="291"/>
      <c r="T88" s="291"/>
      <c r="U88" s="291"/>
      <c r="V88" s="291"/>
      <c r="W88" s="291"/>
      <c r="X88" s="291"/>
      <c r="Y88" s="291"/>
      <c r="Z88" s="291"/>
    </row>
    <row r="89" spans="1:26" s="219" customFormat="1" ht="13.2">
      <c r="A89" s="291" t="s">
        <v>884</v>
      </c>
      <c r="B89" s="291" t="s">
        <v>51</v>
      </c>
      <c r="C89" s="291"/>
      <c r="D89" s="294" t="s">
        <v>1758</v>
      </c>
      <c r="E89" s="291"/>
      <c r="F89" s="291"/>
      <c r="G89" s="291"/>
      <c r="H89" s="291"/>
      <c r="I89" s="291"/>
      <c r="J89" s="291"/>
      <c r="K89" s="291"/>
      <c r="L89" s="291"/>
      <c r="M89" s="291"/>
      <c r="N89" s="291"/>
      <c r="O89" s="291"/>
      <c r="P89" s="291"/>
      <c r="Q89" s="291"/>
      <c r="R89" s="291"/>
      <c r="S89" s="291"/>
      <c r="T89" s="291"/>
      <c r="U89" s="291"/>
      <c r="V89" s="291"/>
      <c r="W89" s="291"/>
      <c r="X89" s="291"/>
      <c r="Y89" s="291"/>
      <c r="Z89" s="291"/>
    </row>
    <row r="90" spans="1:26" s="219" customFormat="1" ht="13.2">
      <c r="A90" s="310" t="s">
        <v>18</v>
      </c>
      <c r="B90" s="310" t="s">
        <v>51</v>
      </c>
      <c r="C90" s="310"/>
      <c r="D90" s="343" t="s">
        <v>1701</v>
      </c>
      <c r="E90" s="310"/>
      <c r="F90" s="310"/>
      <c r="G90" s="310"/>
      <c r="H90" s="310"/>
      <c r="I90" s="310"/>
      <c r="J90" s="310"/>
      <c r="K90" s="310"/>
      <c r="L90" s="310"/>
      <c r="M90" s="310"/>
      <c r="N90" s="310"/>
      <c r="O90" s="310"/>
      <c r="P90" s="310"/>
      <c r="Q90" s="310"/>
      <c r="R90" s="310"/>
      <c r="S90" s="310"/>
      <c r="T90" s="310"/>
      <c r="U90" s="310"/>
      <c r="V90" s="310"/>
      <c r="W90" s="310"/>
      <c r="X90" s="310"/>
      <c r="Y90" s="310"/>
      <c r="Z90" s="310"/>
    </row>
    <row r="91" spans="1:26" s="219" customFormat="1" ht="13.2">
      <c r="A91" s="310" t="s">
        <v>18</v>
      </c>
      <c r="B91" s="310" t="s">
        <v>51</v>
      </c>
      <c r="C91" s="310"/>
      <c r="D91" s="344" t="s">
        <v>1566</v>
      </c>
      <c r="E91" s="310"/>
      <c r="F91" s="310"/>
      <c r="G91" s="310"/>
      <c r="H91" s="310"/>
      <c r="I91" s="310"/>
      <c r="J91" s="310"/>
      <c r="K91" s="310"/>
      <c r="L91" s="310"/>
      <c r="M91" s="310"/>
      <c r="N91" s="310"/>
      <c r="O91" s="310"/>
      <c r="P91" s="310"/>
      <c r="Q91" s="310"/>
      <c r="R91" s="310"/>
      <c r="S91" s="310"/>
      <c r="T91" s="310"/>
      <c r="U91" s="310"/>
      <c r="V91" s="310"/>
      <c r="W91" s="310"/>
      <c r="X91" s="310"/>
      <c r="Y91" s="310"/>
      <c r="Z91" s="310"/>
    </row>
    <row r="92" spans="1:26" s="219" customFormat="1" ht="13.2">
      <c r="A92" s="291" t="s">
        <v>18</v>
      </c>
      <c r="B92" s="291" t="s">
        <v>51</v>
      </c>
      <c r="C92" s="291"/>
      <c r="D92" s="294" t="s">
        <v>1719</v>
      </c>
      <c r="E92" s="291"/>
      <c r="F92" s="291"/>
      <c r="G92" s="291"/>
      <c r="H92" s="291"/>
      <c r="I92" s="291"/>
      <c r="J92" s="291"/>
      <c r="K92" s="291"/>
      <c r="L92" s="291"/>
      <c r="M92" s="291"/>
      <c r="N92" s="291"/>
      <c r="O92" s="291"/>
      <c r="P92" s="291"/>
      <c r="Q92" s="291"/>
      <c r="R92" s="291"/>
      <c r="S92" s="291"/>
      <c r="T92" s="291"/>
      <c r="U92" s="291"/>
      <c r="V92" s="291"/>
      <c r="W92" s="291"/>
      <c r="X92" s="291"/>
      <c r="Y92" s="291"/>
      <c r="Z92" s="291"/>
    </row>
    <row r="93" spans="1:26" s="219" customFormat="1" ht="13.2">
      <c r="A93" s="291" t="s">
        <v>18</v>
      </c>
      <c r="B93" s="291" t="s">
        <v>51</v>
      </c>
      <c r="C93" s="291"/>
      <c r="D93" s="294"/>
      <c r="E93" s="291"/>
      <c r="F93" s="291"/>
      <c r="G93" s="291"/>
      <c r="H93" s="291"/>
      <c r="I93" s="291"/>
      <c r="J93" s="291"/>
      <c r="K93" s="291"/>
      <c r="L93" s="291"/>
      <c r="M93" s="291"/>
      <c r="N93" s="291"/>
      <c r="O93" s="291"/>
      <c r="P93" s="291"/>
      <c r="Q93" s="291"/>
      <c r="R93" s="291"/>
      <c r="S93" s="291"/>
      <c r="T93" s="291"/>
      <c r="U93" s="291"/>
      <c r="V93" s="291"/>
      <c r="W93" s="291"/>
      <c r="X93" s="291"/>
      <c r="Y93" s="291"/>
      <c r="Z93" s="291"/>
    </row>
    <row r="94" spans="1:26" s="219" customFormat="1" ht="13.2">
      <c r="A94" s="291" t="s">
        <v>1775</v>
      </c>
      <c r="B94" s="291" t="s">
        <v>51</v>
      </c>
      <c r="C94" s="291"/>
      <c r="D94" s="294" t="s">
        <v>1777</v>
      </c>
      <c r="E94" s="291"/>
      <c r="F94" s="291"/>
      <c r="G94" s="291"/>
      <c r="H94" s="291"/>
      <c r="I94" s="291"/>
      <c r="J94" s="291"/>
      <c r="K94" s="291"/>
      <c r="L94" s="291"/>
      <c r="M94" s="291"/>
      <c r="N94" s="291"/>
      <c r="O94" s="291"/>
      <c r="P94" s="291"/>
      <c r="Q94" s="291"/>
      <c r="R94" s="291"/>
      <c r="S94" s="291"/>
      <c r="T94" s="291"/>
      <c r="U94" s="291"/>
      <c r="V94" s="291"/>
      <c r="W94" s="291"/>
      <c r="X94" s="291"/>
      <c r="Y94" s="291"/>
      <c r="Z94" s="291"/>
    </row>
    <row r="95" spans="1:26" s="225" customFormat="1" ht="13.2">
      <c r="A95" s="291" t="s">
        <v>18</v>
      </c>
      <c r="B95" s="291" t="s">
        <v>51</v>
      </c>
      <c r="C95" s="291"/>
      <c r="D95" s="294" t="s">
        <v>1785</v>
      </c>
      <c r="E95" s="291"/>
      <c r="F95" s="291"/>
      <c r="G95" s="291"/>
      <c r="H95" s="291"/>
      <c r="I95" s="291"/>
      <c r="J95" s="291"/>
      <c r="K95" s="291"/>
      <c r="L95" s="291"/>
      <c r="M95" s="291"/>
      <c r="N95" s="291"/>
      <c r="O95" s="291"/>
      <c r="P95" s="291"/>
      <c r="Q95" s="291"/>
      <c r="R95" s="291"/>
      <c r="S95" s="291"/>
      <c r="T95" s="291"/>
      <c r="U95" s="291"/>
      <c r="V95" s="291"/>
      <c r="W95" s="291"/>
      <c r="X95" s="291"/>
      <c r="Y95" s="291"/>
      <c r="Z95" s="291"/>
    </row>
    <row r="96" spans="1:26" s="219" customFormat="1" ht="13.2">
      <c r="A96" s="291" t="s">
        <v>18</v>
      </c>
      <c r="B96" s="291" t="s">
        <v>51</v>
      </c>
      <c r="C96" s="291"/>
      <c r="D96" s="294" t="s">
        <v>1764</v>
      </c>
      <c r="E96" s="291"/>
      <c r="F96" s="291"/>
      <c r="G96" s="291"/>
      <c r="H96" s="291"/>
      <c r="I96" s="291"/>
      <c r="J96" s="291"/>
      <c r="K96" s="291"/>
      <c r="L96" s="291"/>
      <c r="M96" s="291"/>
      <c r="N96" s="291"/>
      <c r="O96" s="291"/>
      <c r="P96" s="291"/>
      <c r="Q96" s="291"/>
      <c r="R96" s="291"/>
      <c r="S96" s="291"/>
      <c r="T96" s="291"/>
      <c r="U96" s="291"/>
      <c r="V96" s="291"/>
      <c r="W96" s="291"/>
      <c r="X96" s="291"/>
      <c r="Y96" s="291"/>
      <c r="Z96" s="291"/>
    </row>
    <row r="97" spans="1:26" s="219" customFormat="1" ht="13.2">
      <c r="A97" s="291" t="s">
        <v>18</v>
      </c>
      <c r="B97" s="291" t="s">
        <v>51</v>
      </c>
      <c r="C97" s="291"/>
      <c r="D97" s="294" t="s">
        <v>1791</v>
      </c>
      <c r="E97" s="291"/>
      <c r="F97" s="291"/>
      <c r="G97" s="291"/>
      <c r="H97" s="291"/>
      <c r="I97" s="291"/>
      <c r="J97" s="291"/>
      <c r="K97" s="291"/>
      <c r="L97" s="291"/>
      <c r="M97" s="291"/>
      <c r="N97" s="291"/>
      <c r="O97" s="291"/>
      <c r="P97" s="291"/>
      <c r="Q97" s="291"/>
      <c r="R97" s="291"/>
      <c r="S97" s="291"/>
      <c r="T97" s="291"/>
      <c r="U97" s="291"/>
      <c r="V97" s="291"/>
      <c r="W97" s="291"/>
      <c r="X97" s="291"/>
      <c r="Y97" s="291"/>
      <c r="Z97" s="291"/>
    </row>
    <row r="98" spans="1:26" s="219" customFormat="1">
      <c r="A98" s="115" t="s">
        <v>1827</v>
      </c>
      <c r="B98" s="115" t="s">
        <v>51</v>
      </c>
      <c r="C98" s="115"/>
      <c r="D98" s="128" t="s">
        <v>1831</v>
      </c>
      <c r="E98" s="115"/>
      <c r="F98" s="115"/>
      <c r="G98" s="115"/>
      <c r="H98" s="115"/>
      <c r="I98" s="115"/>
      <c r="J98" s="115"/>
      <c r="K98" s="115"/>
      <c r="L98" s="115"/>
      <c r="M98" s="115"/>
      <c r="N98" s="115"/>
      <c r="O98" s="115"/>
      <c r="P98" s="115"/>
      <c r="Q98" s="115"/>
      <c r="R98" s="115"/>
      <c r="S98" s="115"/>
      <c r="T98" s="115"/>
      <c r="U98" s="115"/>
      <c r="V98" s="115"/>
      <c r="W98" s="115"/>
      <c r="X98" s="115"/>
      <c r="Y98" s="115"/>
      <c r="Z98" s="115"/>
    </row>
    <row r="99" spans="1:26" s="219" customFormat="1">
      <c r="A99" s="115" t="s">
        <v>18</v>
      </c>
      <c r="B99" s="115" t="s">
        <v>51</v>
      </c>
      <c r="C99" s="115"/>
      <c r="D99" s="128" t="s">
        <v>1848</v>
      </c>
      <c r="E99" s="115"/>
      <c r="F99" s="115"/>
      <c r="G99" s="115"/>
      <c r="H99" s="115"/>
      <c r="I99" s="115"/>
      <c r="J99" s="115"/>
      <c r="K99" s="115"/>
      <c r="L99" s="115"/>
      <c r="M99" s="115"/>
      <c r="N99" s="115"/>
      <c r="O99" s="115"/>
      <c r="P99" s="115"/>
      <c r="Q99" s="115"/>
      <c r="R99" s="115"/>
      <c r="S99" s="115"/>
      <c r="T99" s="115"/>
      <c r="U99" s="115"/>
      <c r="V99" s="115"/>
      <c r="W99" s="115"/>
      <c r="X99" s="115"/>
      <c r="Y99" s="115"/>
      <c r="Z99" s="115"/>
    </row>
    <row r="100" spans="1:26" s="143" customFormat="1">
      <c r="A100" s="115" t="s">
        <v>18</v>
      </c>
      <c r="B100" s="115" t="s">
        <v>51</v>
      </c>
      <c r="C100" s="115"/>
      <c r="D100" s="128" t="s">
        <v>1857</v>
      </c>
      <c r="E100" s="115"/>
      <c r="F100" s="115"/>
      <c r="G100" s="115"/>
      <c r="H100" s="115"/>
      <c r="I100" s="115"/>
      <c r="J100" s="115"/>
      <c r="K100" s="115"/>
      <c r="L100" s="115"/>
      <c r="M100" s="115"/>
      <c r="N100" s="115"/>
      <c r="O100" s="115"/>
      <c r="P100" s="115"/>
      <c r="Q100" s="115"/>
      <c r="R100" s="115"/>
      <c r="S100" s="115"/>
      <c r="T100" s="115"/>
      <c r="U100" s="115"/>
      <c r="V100" s="115"/>
      <c r="W100" s="115"/>
      <c r="X100" s="115"/>
      <c r="Y100" s="115"/>
      <c r="Z100" s="115"/>
    </row>
    <row r="101" spans="1:26" s="143" customFormat="1" ht="13.2">
      <c r="A101" s="115" t="s">
        <v>18</v>
      </c>
      <c r="B101" s="115" t="s">
        <v>51</v>
      </c>
      <c r="C101" s="115"/>
      <c r="D101" s="121" t="s">
        <v>1865</v>
      </c>
      <c r="E101" s="115"/>
      <c r="F101" s="115"/>
      <c r="G101" s="115"/>
      <c r="H101" s="115"/>
      <c r="I101" s="115"/>
      <c r="J101" s="115"/>
      <c r="K101" s="115"/>
      <c r="L101" s="115"/>
      <c r="M101" s="115"/>
      <c r="N101" s="115"/>
      <c r="O101" s="115"/>
      <c r="P101" s="115"/>
      <c r="Q101" s="115"/>
      <c r="R101" s="115"/>
      <c r="S101" s="115"/>
      <c r="T101" s="115"/>
      <c r="U101" s="115"/>
      <c r="V101" s="115"/>
      <c r="W101" s="115"/>
      <c r="X101" s="115"/>
      <c r="Y101" s="115"/>
      <c r="Z101" s="115"/>
    </row>
    <row r="102" spans="1:26" s="143" customFormat="1">
      <c r="A102" s="115" t="s">
        <v>168</v>
      </c>
      <c r="B102" s="115" t="s">
        <v>51</v>
      </c>
      <c r="C102" s="115"/>
      <c r="D102" s="128" t="s">
        <v>1798</v>
      </c>
      <c r="E102" s="115"/>
      <c r="F102" s="115"/>
      <c r="G102" s="115"/>
      <c r="H102" s="115"/>
      <c r="I102" s="115"/>
      <c r="J102" s="115"/>
      <c r="K102" s="115"/>
      <c r="L102" s="115"/>
      <c r="M102" s="115"/>
      <c r="N102" s="115"/>
      <c r="O102" s="115"/>
      <c r="P102" s="115"/>
      <c r="Q102" s="115"/>
      <c r="R102" s="115"/>
      <c r="S102" s="115"/>
      <c r="T102" s="115"/>
      <c r="U102" s="115"/>
      <c r="V102" s="115"/>
      <c r="W102" s="115"/>
      <c r="X102" s="115"/>
      <c r="Y102" s="115"/>
      <c r="Z102" s="115"/>
    </row>
    <row r="103" spans="1:26" s="143" customFormat="1">
      <c r="A103" s="115" t="s">
        <v>18</v>
      </c>
      <c r="B103" s="115" t="s">
        <v>51</v>
      </c>
      <c r="C103" s="115"/>
      <c r="D103" s="363" t="s">
        <v>1806</v>
      </c>
      <c r="E103" s="115"/>
      <c r="F103" s="115"/>
      <c r="G103" s="115"/>
      <c r="H103" s="115"/>
      <c r="I103" s="115"/>
      <c r="J103" s="115"/>
      <c r="K103" s="115"/>
      <c r="L103" s="115"/>
      <c r="M103" s="115"/>
      <c r="N103" s="115"/>
      <c r="O103" s="115"/>
      <c r="P103" s="115"/>
      <c r="Q103" s="115"/>
      <c r="R103" s="115"/>
      <c r="S103" s="115"/>
      <c r="T103" s="115"/>
      <c r="U103" s="115"/>
      <c r="V103" s="115"/>
      <c r="W103" s="115"/>
      <c r="X103" s="115"/>
      <c r="Y103" s="115"/>
      <c r="Z103" s="115"/>
    </row>
    <row r="104" spans="1:26" s="143" customFormat="1">
      <c r="A104" s="355" t="s">
        <v>18</v>
      </c>
      <c r="B104" s="355" t="s">
        <v>1023</v>
      </c>
      <c r="C104" s="355"/>
      <c r="D104" s="365" t="s">
        <v>1898</v>
      </c>
      <c r="E104" s="355"/>
      <c r="F104" s="355"/>
      <c r="G104" s="355"/>
      <c r="H104" s="355"/>
      <c r="I104" s="355"/>
      <c r="J104" s="355"/>
      <c r="K104" s="355"/>
      <c r="L104" s="355"/>
      <c r="M104" s="355"/>
      <c r="N104" s="355"/>
      <c r="O104" s="355"/>
      <c r="P104" s="355"/>
      <c r="Q104" s="355"/>
      <c r="R104" s="355"/>
      <c r="S104" s="355"/>
      <c r="T104" s="355"/>
      <c r="U104" s="355"/>
      <c r="V104" s="355"/>
      <c r="W104" s="355"/>
      <c r="X104" s="355"/>
      <c r="Y104" s="355"/>
      <c r="Z104" s="355"/>
    </row>
    <row r="105" spans="1:26" s="143" customFormat="1">
      <c r="A105" s="115" t="s">
        <v>1775</v>
      </c>
      <c r="B105" s="115" t="s">
        <v>1023</v>
      </c>
      <c r="C105" s="115"/>
      <c r="D105" s="128" t="s">
        <v>1878</v>
      </c>
      <c r="E105" s="115"/>
      <c r="F105" s="115"/>
      <c r="G105" s="115"/>
      <c r="H105" s="115"/>
      <c r="I105" s="115"/>
      <c r="J105" s="115"/>
      <c r="K105" s="115"/>
      <c r="L105" s="115"/>
      <c r="M105" s="115"/>
      <c r="N105" s="115"/>
      <c r="O105" s="115"/>
      <c r="P105" s="115"/>
      <c r="Q105" s="115"/>
      <c r="R105" s="115"/>
      <c r="S105" s="115"/>
      <c r="T105" s="115"/>
      <c r="U105" s="115"/>
      <c r="V105" s="115"/>
      <c r="W105" s="115"/>
      <c r="X105" s="115"/>
      <c r="Y105" s="115"/>
      <c r="Z105" s="115"/>
    </row>
    <row r="106" spans="1:26" s="225" customFormat="1">
      <c r="A106" s="355" t="s">
        <v>18</v>
      </c>
      <c r="B106" s="355" t="s">
        <v>51</v>
      </c>
      <c r="C106" s="355"/>
      <c r="D106" s="365" t="s">
        <v>1652</v>
      </c>
      <c r="E106" s="355"/>
      <c r="F106" s="355"/>
      <c r="G106" s="355"/>
      <c r="H106" s="355"/>
      <c r="I106" s="355"/>
      <c r="J106" s="355"/>
      <c r="K106" s="355"/>
      <c r="L106" s="355"/>
      <c r="M106" s="355"/>
      <c r="N106" s="355"/>
      <c r="O106" s="355"/>
      <c r="P106" s="355"/>
      <c r="Q106" s="355"/>
      <c r="R106" s="355"/>
      <c r="S106" s="355"/>
      <c r="T106" s="355"/>
      <c r="U106" s="355"/>
      <c r="V106" s="355"/>
      <c r="W106" s="355"/>
      <c r="X106" s="355"/>
      <c r="Y106" s="355"/>
      <c r="Z106" s="355"/>
    </row>
    <row r="107" spans="1:26" s="143" customFormat="1">
      <c r="A107" s="115" t="s">
        <v>18</v>
      </c>
      <c r="B107" s="115" t="s">
        <v>51</v>
      </c>
      <c r="C107" s="115"/>
      <c r="D107" s="128" t="s">
        <v>1020</v>
      </c>
      <c r="E107" s="115"/>
      <c r="F107" s="115"/>
      <c r="G107" s="115"/>
      <c r="H107" s="115"/>
      <c r="I107" s="115"/>
      <c r="J107" s="115"/>
      <c r="K107" s="115"/>
      <c r="L107" s="115"/>
      <c r="M107" s="115"/>
      <c r="N107" s="115"/>
      <c r="O107" s="115"/>
      <c r="P107" s="115"/>
      <c r="Q107" s="115"/>
      <c r="R107" s="115"/>
      <c r="S107" s="115"/>
      <c r="T107" s="115"/>
      <c r="U107" s="115"/>
      <c r="V107" s="115"/>
      <c r="W107" s="115"/>
      <c r="X107" s="115"/>
      <c r="Y107" s="115"/>
      <c r="Z107" s="115"/>
    </row>
    <row r="108" spans="1:26">
      <c r="A108" s="355" t="s">
        <v>18</v>
      </c>
      <c r="B108" s="355" t="s">
        <v>51</v>
      </c>
      <c r="C108" s="355"/>
      <c r="D108" s="365" t="s">
        <v>1872</v>
      </c>
      <c r="E108" s="355"/>
      <c r="F108" s="355"/>
      <c r="G108" s="355"/>
      <c r="H108" s="355"/>
      <c r="I108" s="355"/>
      <c r="J108" s="355"/>
      <c r="K108" s="355"/>
      <c r="L108" s="355"/>
      <c r="M108" s="355"/>
      <c r="N108" s="355"/>
      <c r="O108" s="355"/>
      <c r="P108" s="355"/>
      <c r="Q108" s="355"/>
      <c r="R108" s="355"/>
      <c r="S108" s="355"/>
      <c r="T108" s="355"/>
      <c r="U108" s="355"/>
      <c r="V108" s="355"/>
      <c r="W108" s="355"/>
      <c r="X108" s="355"/>
      <c r="Y108" s="355"/>
      <c r="Z108" s="355"/>
    </row>
    <row r="109" spans="1:26" ht="13.2">
      <c r="A109" s="355" t="s">
        <v>18</v>
      </c>
      <c r="B109" s="355" t="s">
        <v>1023</v>
      </c>
      <c r="C109" s="355"/>
      <c r="D109" s="401" t="s">
        <v>1967</v>
      </c>
      <c r="E109" s="355"/>
      <c r="F109" s="355"/>
      <c r="G109" s="355"/>
      <c r="H109" s="355"/>
      <c r="I109" s="355"/>
      <c r="J109" s="355"/>
      <c r="K109" s="355"/>
      <c r="L109" s="355"/>
      <c r="M109" s="355"/>
      <c r="N109" s="355"/>
      <c r="O109" s="355"/>
      <c r="P109" s="355"/>
      <c r="Q109" s="355"/>
      <c r="R109" s="355"/>
      <c r="S109" s="355"/>
      <c r="T109" s="355"/>
      <c r="U109" s="355"/>
      <c r="V109" s="355"/>
      <c r="W109" s="355"/>
      <c r="X109" s="355"/>
      <c r="Y109" s="355"/>
      <c r="Z109" s="355"/>
    </row>
    <row r="110" spans="1:26" ht="13.2">
      <c r="A110" s="383" t="s">
        <v>18</v>
      </c>
      <c r="B110" s="383" t="s">
        <v>51</v>
      </c>
      <c r="C110" s="383"/>
      <c r="D110" s="388" t="s">
        <v>1840</v>
      </c>
      <c r="E110" s="383"/>
      <c r="F110" s="383"/>
      <c r="G110" s="383"/>
      <c r="H110" s="383"/>
      <c r="I110" s="383"/>
      <c r="J110" s="383"/>
      <c r="K110" s="383"/>
      <c r="L110" s="383"/>
      <c r="M110" s="383"/>
      <c r="N110" s="383"/>
      <c r="O110" s="383"/>
      <c r="P110" s="383"/>
      <c r="Q110" s="383"/>
      <c r="R110" s="383"/>
      <c r="S110" s="383"/>
      <c r="T110" s="383"/>
      <c r="U110" s="383"/>
      <c r="V110" s="383"/>
      <c r="W110" s="383"/>
      <c r="X110" s="383"/>
      <c r="Y110" s="383"/>
      <c r="Z110" s="383"/>
    </row>
    <row r="111" spans="1:26" ht="13.2">
      <c r="A111" s="408" t="s">
        <v>18</v>
      </c>
      <c r="B111" s="408" t="s">
        <v>51</v>
      </c>
      <c r="C111" s="408"/>
      <c r="D111" s="413" t="s">
        <v>1930</v>
      </c>
      <c r="E111" s="408"/>
      <c r="F111" s="408"/>
      <c r="G111" s="408"/>
      <c r="H111" s="408"/>
      <c r="I111" s="408"/>
      <c r="J111" s="408"/>
      <c r="K111" s="408"/>
      <c r="L111" s="408"/>
      <c r="M111" s="408"/>
      <c r="N111" s="408"/>
      <c r="O111" s="408"/>
      <c r="P111" s="408"/>
      <c r="Q111" s="408"/>
      <c r="R111" s="408"/>
      <c r="S111" s="408"/>
      <c r="T111" s="408"/>
      <c r="U111" s="408"/>
      <c r="V111" s="408"/>
      <c r="W111" s="408"/>
      <c r="X111" s="408"/>
      <c r="Y111" s="408"/>
      <c r="Z111" s="408"/>
    </row>
    <row r="112" spans="1:26" ht="13.2">
      <c r="A112" s="372" t="s">
        <v>18</v>
      </c>
      <c r="B112" s="372" t="s">
        <v>51</v>
      </c>
      <c r="C112" s="372"/>
      <c r="D112" s="375" t="s">
        <v>1791</v>
      </c>
      <c r="E112" s="372"/>
      <c r="F112" s="372"/>
      <c r="G112" s="372"/>
      <c r="H112" s="372"/>
      <c r="I112" s="372"/>
      <c r="J112" s="372"/>
      <c r="K112" s="372"/>
      <c r="L112" s="372"/>
      <c r="M112" s="372"/>
      <c r="N112" s="372"/>
      <c r="O112" s="372"/>
      <c r="P112" s="372"/>
      <c r="Q112" s="372"/>
      <c r="R112" s="372"/>
      <c r="S112" s="372"/>
      <c r="T112" s="372"/>
      <c r="U112" s="372"/>
      <c r="V112" s="372"/>
      <c r="W112" s="372"/>
      <c r="X112" s="372"/>
      <c r="Y112" s="372"/>
      <c r="Z112" s="372"/>
    </row>
    <row r="113" spans="1:26" ht="13.2">
      <c r="A113" s="115" t="s">
        <v>2002</v>
      </c>
      <c r="B113" s="115" t="s">
        <v>51</v>
      </c>
      <c r="C113" s="115"/>
      <c r="D113" s="121" t="s">
        <v>2004</v>
      </c>
      <c r="E113" s="115"/>
      <c r="F113" s="115"/>
      <c r="G113" s="115"/>
      <c r="H113" s="115"/>
      <c r="I113" s="115"/>
      <c r="J113" s="115"/>
      <c r="K113" s="115"/>
      <c r="L113" s="115"/>
      <c r="M113" s="115"/>
      <c r="N113" s="115"/>
      <c r="O113" s="115"/>
      <c r="P113" s="115"/>
      <c r="Q113" s="115"/>
      <c r="R113" s="115"/>
      <c r="S113" s="115"/>
      <c r="T113" s="115"/>
      <c r="U113" s="115"/>
      <c r="V113" s="115"/>
      <c r="W113" s="115"/>
      <c r="X113" s="115"/>
      <c r="Y113" s="115"/>
      <c r="Z113" s="115"/>
    </row>
    <row r="114" spans="1:26" ht="13.2">
      <c r="A114" s="355" t="s">
        <v>18</v>
      </c>
      <c r="B114" s="355" t="s">
        <v>1023</v>
      </c>
      <c r="C114" s="355"/>
      <c r="D114" s="401" t="s">
        <v>2013</v>
      </c>
      <c r="E114" s="355"/>
      <c r="F114" s="355"/>
      <c r="G114" s="355"/>
      <c r="H114" s="355"/>
      <c r="I114" s="355"/>
      <c r="J114" s="355"/>
      <c r="K114" s="355"/>
      <c r="L114" s="355"/>
      <c r="M114" s="355"/>
      <c r="N114" s="355"/>
      <c r="O114" s="355"/>
      <c r="P114" s="355"/>
      <c r="Q114" s="355"/>
      <c r="R114" s="355"/>
      <c r="S114" s="355"/>
      <c r="T114" s="355"/>
      <c r="U114" s="355"/>
      <c r="V114" s="355"/>
      <c r="W114" s="355"/>
      <c r="X114" s="355"/>
      <c r="Y114" s="355"/>
      <c r="Z114" s="355"/>
    </row>
    <row r="115" spans="1:26" ht="13.2">
      <c r="A115" s="355" t="s">
        <v>18</v>
      </c>
      <c r="B115" s="355" t="s">
        <v>51</v>
      </c>
      <c r="C115" s="355"/>
      <c r="D115" s="401" t="s">
        <v>1981</v>
      </c>
      <c r="E115" s="355"/>
      <c r="F115" s="355"/>
      <c r="G115" s="355"/>
      <c r="H115" s="355"/>
      <c r="I115" s="355"/>
      <c r="J115" s="355"/>
      <c r="K115" s="355"/>
      <c r="L115" s="355"/>
      <c r="M115" s="355"/>
      <c r="N115" s="355"/>
      <c r="O115" s="355"/>
      <c r="P115" s="355"/>
      <c r="Q115" s="355"/>
      <c r="R115" s="355"/>
      <c r="S115" s="355"/>
      <c r="T115" s="355"/>
      <c r="U115" s="355"/>
      <c r="V115" s="355"/>
      <c r="W115" s="355"/>
      <c r="X115" s="355"/>
      <c r="Y115" s="355"/>
      <c r="Z115" s="355"/>
    </row>
    <row r="116" spans="1:26" ht="13.2">
      <c r="A116" s="355" t="s">
        <v>18</v>
      </c>
      <c r="B116" s="355" t="s">
        <v>1023</v>
      </c>
      <c r="C116" s="355"/>
      <c r="D116" s="401" t="s">
        <v>1959</v>
      </c>
      <c r="E116" s="355"/>
      <c r="F116" s="355"/>
      <c r="G116" s="355"/>
      <c r="H116" s="355"/>
      <c r="I116" s="355"/>
      <c r="J116" s="355"/>
      <c r="K116" s="355"/>
      <c r="L116" s="355"/>
      <c r="M116" s="355"/>
      <c r="N116" s="355"/>
      <c r="O116" s="355"/>
      <c r="P116" s="355"/>
      <c r="Q116" s="355"/>
      <c r="R116" s="355"/>
      <c r="S116" s="355"/>
      <c r="T116" s="355"/>
      <c r="U116" s="355"/>
      <c r="V116" s="355"/>
      <c r="W116" s="355"/>
      <c r="X116" s="355"/>
      <c r="Y116" s="355"/>
      <c r="Z116" s="355"/>
    </row>
    <row r="117" spans="1:26" ht="13.2">
      <c r="A117" s="364" t="s">
        <v>18</v>
      </c>
      <c r="B117" s="115" t="s">
        <v>51</v>
      </c>
      <c r="C117" s="115"/>
      <c r="D117" s="121" t="s">
        <v>1943</v>
      </c>
      <c r="E117" s="115"/>
      <c r="F117" s="115"/>
      <c r="G117" s="115"/>
      <c r="H117" s="115"/>
      <c r="I117" s="115"/>
      <c r="J117" s="115"/>
      <c r="K117" s="115"/>
      <c r="L117" s="115"/>
      <c r="M117" s="115"/>
      <c r="N117" s="115"/>
      <c r="O117" s="115"/>
      <c r="P117" s="115"/>
      <c r="Q117" s="115"/>
      <c r="R117" s="115"/>
      <c r="S117" s="115"/>
      <c r="T117" s="115"/>
      <c r="U117" s="115"/>
      <c r="V117" s="115"/>
      <c r="W117" s="115"/>
      <c r="X117" s="115"/>
      <c r="Y117" s="115"/>
      <c r="Z117" s="115"/>
    </row>
    <row r="118" spans="1:26" ht="13.2">
      <c r="A118" s="115" t="s">
        <v>18</v>
      </c>
      <c r="B118" s="115" t="s">
        <v>1023</v>
      </c>
      <c r="C118" s="115"/>
      <c r="D118" s="121" t="s">
        <v>1952</v>
      </c>
      <c r="E118" s="115"/>
      <c r="F118" s="115"/>
      <c r="G118" s="115"/>
      <c r="H118" s="115"/>
      <c r="I118" s="115"/>
      <c r="J118" s="115"/>
      <c r="K118" s="115"/>
      <c r="L118" s="115"/>
      <c r="M118" s="115"/>
      <c r="N118" s="115"/>
      <c r="O118" s="115"/>
      <c r="P118" s="115"/>
      <c r="Q118" s="115"/>
      <c r="R118" s="115"/>
      <c r="S118" s="115"/>
      <c r="T118" s="115"/>
      <c r="U118" s="115"/>
      <c r="V118" s="115"/>
      <c r="W118" s="115"/>
      <c r="X118" s="115"/>
      <c r="Y118" s="115"/>
      <c r="Z118" s="115"/>
    </row>
    <row r="119" spans="1:26" ht="13.2">
      <c r="A119" s="115" t="s">
        <v>168</v>
      </c>
      <c r="B119" s="115" t="s">
        <v>1023</v>
      </c>
      <c r="C119" s="115"/>
      <c r="D119" s="121" t="s">
        <v>1974</v>
      </c>
      <c r="E119" s="115"/>
      <c r="F119" s="115"/>
      <c r="G119" s="115"/>
      <c r="H119" s="115"/>
      <c r="I119" s="115"/>
      <c r="J119" s="115"/>
      <c r="K119" s="115"/>
      <c r="L119" s="115"/>
      <c r="M119" s="115"/>
      <c r="N119" s="115"/>
      <c r="O119" s="115"/>
      <c r="P119" s="115"/>
      <c r="Q119" s="115"/>
      <c r="R119" s="115"/>
      <c r="S119" s="115"/>
      <c r="T119" s="115"/>
      <c r="U119" s="115"/>
      <c r="V119" s="115"/>
      <c r="W119" s="115"/>
      <c r="X119" s="115"/>
      <c r="Y119" s="115"/>
      <c r="Z119" s="115"/>
    </row>
    <row r="120" spans="1:26" s="143" customFormat="1" ht="13.2">
      <c r="A120" s="115" t="s">
        <v>18</v>
      </c>
      <c r="B120" s="115" t="s">
        <v>1023</v>
      </c>
      <c r="C120" s="291"/>
      <c r="D120" s="121" t="s">
        <v>2022</v>
      </c>
      <c r="E120" s="291"/>
      <c r="F120" s="291"/>
      <c r="G120" s="291"/>
      <c r="H120" s="291"/>
      <c r="I120" s="291"/>
      <c r="J120" s="291"/>
      <c r="K120" s="291"/>
      <c r="L120" s="291"/>
      <c r="M120" s="291"/>
      <c r="N120" s="291"/>
      <c r="O120" s="291"/>
      <c r="P120" s="291"/>
      <c r="Q120" s="291"/>
      <c r="R120" s="291"/>
      <c r="S120" s="291"/>
      <c r="T120" s="291"/>
      <c r="U120" s="291"/>
      <c r="V120" s="291"/>
      <c r="W120" s="291"/>
      <c r="X120" s="291"/>
      <c r="Y120" s="291"/>
      <c r="Z120" s="291"/>
    </row>
    <row r="121" spans="1:26" s="143" customFormat="1" ht="13.2">
      <c r="A121" s="115" t="s">
        <v>18</v>
      </c>
      <c r="B121" s="115" t="s">
        <v>51</v>
      </c>
      <c r="C121" s="115"/>
      <c r="D121" s="121" t="s">
        <v>1995</v>
      </c>
      <c r="E121" s="115"/>
      <c r="F121" s="115"/>
      <c r="G121" s="115"/>
      <c r="H121" s="115"/>
      <c r="I121" s="115"/>
      <c r="J121" s="115"/>
      <c r="K121" s="115"/>
      <c r="L121" s="115"/>
      <c r="M121" s="115"/>
      <c r="N121" s="115"/>
      <c r="O121" s="115"/>
      <c r="P121" s="115"/>
      <c r="Q121" s="115"/>
      <c r="R121" s="115"/>
      <c r="S121" s="115"/>
      <c r="T121" s="115"/>
      <c r="U121" s="115"/>
      <c r="V121" s="115"/>
      <c r="W121" s="115"/>
      <c r="X121" s="115"/>
      <c r="Y121" s="115"/>
      <c r="Z121" s="115"/>
    </row>
    <row r="122" spans="1:26" s="143" customFormat="1">
      <c r="A122" s="139" t="s">
        <v>18</v>
      </c>
      <c r="B122" s="139" t="s">
        <v>51</v>
      </c>
      <c r="C122" s="139"/>
      <c r="D122" s="156" t="s">
        <v>270</v>
      </c>
      <c r="E122" s="139"/>
      <c r="F122" s="139"/>
      <c r="G122" s="139"/>
      <c r="H122" s="139"/>
      <c r="I122" s="139"/>
      <c r="J122" s="139"/>
      <c r="K122" s="139"/>
      <c r="L122" s="139"/>
      <c r="M122" s="139"/>
      <c r="N122" s="139"/>
      <c r="O122" s="139"/>
      <c r="P122" s="139"/>
      <c r="Q122" s="139"/>
      <c r="R122" s="139"/>
      <c r="S122" s="139"/>
      <c r="T122" s="139"/>
      <c r="U122" s="139"/>
      <c r="V122" s="139"/>
      <c r="W122" s="139"/>
      <c r="X122" s="139"/>
      <c r="Y122" s="139"/>
      <c r="Z122" s="139"/>
    </row>
    <row r="123" spans="1:26" s="143" customFormat="1">
      <c r="A123" s="139" t="s">
        <v>18</v>
      </c>
      <c r="B123" s="139" t="s">
        <v>51</v>
      </c>
      <c r="C123" s="139"/>
      <c r="D123" s="156" t="s">
        <v>197</v>
      </c>
      <c r="E123" s="139"/>
      <c r="F123" s="139"/>
      <c r="G123" s="139"/>
      <c r="H123" s="139"/>
      <c r="I123" s="139"/>
      <c r="J123" s="139"/>
      <c r="K123" s="139"/>
      <c r="L123" s="139"/>
      <c r="M123" s="139"/>
      <c r="N123" s="139"/>
      <c r="O123" s="139"/>
      <c r="P123" s="139"/>
      <c r="Q123" s="139"/>
      <c r="R123" s="139"/>
      <c r="S123" s="139"/>
      <c r="T123" s="139"/>
      <c r="U123" s="139"/>
      <c r="V123" s="139"/>
      <c r="W123" s="139"/>
      <c r="X123" s="139"/>
      <c r="Y123" s="139"/>
      <c r="Z123" s="139"/>
    </row>
    <row r="124" spans="1:26" s="143" customFormat="1">
      <c r="A124" s="139" t="s">
        <v>18</v>
      </c>
      <c r="B124" s="139" t="s">
        <v>51</v>
      </c>
      <c r="C124" s="139"/>
      <c r="D124" s="156" t="s">
        <v>333</v>
      </c>
      <c r="E124" s="139"/>
      <c r="F124" s="139"/>
      <c r="G124" s="139"/>
      <c r="H124" s="139"/>
      <c r="I124" s="139"/>
      <c r="J124" s="139"/>
      <c r="K124" s="139"/>
      <c r="L124" s="139"/>
      <c r="M124" s="139"/>
      <c r="N124" s="139"/>
      <c r="O124" s="139"/>
      <c r="P124" s="139"/>
      <c r="Q124" s="139"/>
      <c r="R124" s="139"/>
      <c r="S124" s="139"/>
      <c r="T124" s="139"/>
      <c r="U124" s="139"/>
      <c r="V124" s="139"/>
      <c r="W124" s="139"/>
      <c r="X124" s="139"/>
      <c r="Y124" s="139"/>
      <c r="Z124" s="139"/>
    </row>
    <row r="125" spans="1:26" s="143" customFormat="1">
      <c r="A125" s="139" t="s">
        <v>18</v>
      </c>
      <c r="B125" s="139" t="s">
        <v>51</v>
      </c>
      <c r="C125" s="139"/>
      <c r="D125" s="156" t="s">
        <v>183</v>
      </c>
      <c r="E125" s="139"/>
      <c r="F125" s="139"/>
      <c r="G125" s="139"/>
      <c r="H125" s="139"/>
      <c r="I125" s="139"/>
      <c r="J125" s="139"/>
      <c r="K125" s="139"/>
      <c r="L125" s="139"/>
      <c r="M125" s="139"/>
      <c r="N125" s="139"/>
      <c r="O125" s="139"/>
      <c r="P125" s="139"/>
      <c r="Q125" s="139"/>
      <c r="R125" s="139"/>
      <c r="S125" s="139"/>
      <c r="T125" s="139"/>
      <c r="U125" s="139"/>
      <c r="V125" s="139"/>
      <c r="W125" s="139"/>
      <c r="X125" s="139"/>
      <c r="Y125" s="139"/>
      <c r="Z125" s="139"/>
    </row>
    <row r="126" spans="1:26" s="143" customFormat="1">
      <c r="A126" s="139" t="s">
        <v>18</v>
      </c>
      <c r="B126" s="139" t="s">
        <v>51</v>
      </c>
      <c r="C126" s="139" t="s">
        <v>258</v>
      </c>
      <c r="D126" s="156" t="s">
        <v>259</v>
      </c>
      <c r="E126" s="139"/>
      <c r="F126" s="139"/>
      <c r="G126" s="139"/>
      <c r="H126" s="139"/>
      <c r="I126" s="139"/>
      <c r="J126" s="139"/>
      <c r="K126" s="139"/>
      <c r="L126" s="139"/>
      <c r="M126" s="139"/>
      <c r="N126" s="139"/>
      <c r="O126" s="139"/>
      <c r="P126" s="139"/>
      <c r="Q126" s="139"/>
      <c r="R126" s="139"/>
      <c r="S126" s="139"/>
      <c r="T126" s="139"/>
      <c r="U126" s="139"/>
      <c r="V126" s="139"/>
      <c r="W126" s="139"/>
      <c r="X126" s="139"/>
      <c r="Y126" s="139"/>
      <c r="Z126" s="139"/>
    </row>
    <row r="127" spans="1:26" s="143" customFormat="1">
      <c r="A127" s="139" t="s">
        <v>18</v>
      </c>
      <c r="B127" s="139" t="s">
        <v>51</v>
      </c>
      <c r="C127" s="139"/>
      <c r="D127" s="156" t="s">
        <v>237</v>
      </c>
      <c r="E127" s="139"/>
      <c r="F127" s="139"/>
      <c r="G127" s="139"/>
      <c r="H127" s="139"/>
      <c r="I127" s="139"/>
      <c r="J127" s="139"/>
      <c r="K127" s="139"/>
      <c r="L127" s="139"/>
      <c r="M127" s="139"/>
      <c r="N127" s="139"/>
      <c r="O127" s="139"/>
      <c r="P127" s="139"/>
      <c r="Q127" s="139"/>
      <c r="R127" s="139"/>
      <c r="S127" s="139"/>
      <c r="T127" s="139"/>
      <c r="U127" s="139"/>
      <c r="V127" s="139"/>
      <c r="W127" s="139"/>
      <c r="X127" s="139"/>
      <c r="Y127" s="139"/>
      <c r="Z127" s="139"/>
    </row>
    <row r="128" spans="1:26" s="143" customFormat="1">
      <c r="A128" s="139" t="s">
        <v>18</v>
      </c>
      <c r="B128" s="139" t="s">
        <v>51</v>
      </c>
      <c r="C128" s="139" t="s">
        <v>309</v>
      </c>
      <c r="D128" s="156" t="s">
        <v>310</v>
      </c>
      <c r="E128" s="139"/>
      <c r="F128" s="139"/>
      <c r="G128" s="139"/>
      <c r="H128" s="139"/>
      <c r="I128" s="139"/>
      <c r="J128" s="139"/>
      <c r="K128" s="139"/>
      <c r="L128" s="139"/>
      <c r="M128" s="139"/>
      <c r="N128" s="139"/>
      <c r="O128" s="139"/>
      <c r="P128" s="139"/>
      <c r="Q128" s="139"/>
      <c r="R128" s="139"/>
      <c r="S128" s="139"/>
      <c r="T128" s="139"/>
      <c r="U128" s="139"/>
      <c r="V128" s="139"/>
      <c r="W128" s="139"/>
      <c r="X128" s="139"/>
      <c r="Y128" s="139"/>
      <c r="Z128" s="139"/>
    </row>
    <row r="129" spans="1:26" s="143" customFormat="1">
      <c r="A129" s="139" t="s">
        <v>18</v>
      </c>
      <c r="B129" s="139" t="s">
        <v>51</v>
      </c>
      <c r="C129" s="139"/>
      <c r="D129" s="156" t="s">
        <v>293</v>
      </c>
      <c r="E129" s="139"/>
      <c r="F129" s="139"/>
      <c r="G129" s="139"/>
      <c r="H129" s="139"/>
      <c r="I129" s="139"/>
      <c r="J129" s="139"/>
      <c r="K129" s="139"/>
      <c r="L129" s="139"/>
      <c r="M129" s="139"/>
      <c r="N129" s="139"/>
      <c r="O129" s="139"/>
      <c r="P129" s="139"/>
      <c r="Q129" s="139"/>
      <c r="R129" s="139"/>
      <c r="S129" s="139"/>
      <c r="T129" s="139"/>
      <c r="U129" s="139"/>
      <c r="V129" s="139"/>
      <c r="W129" s="139"/>
      <c r="X129" s="139"/>
      <c r="Y129" s="139"/>
      <c r="Z129" s="139"/>
    </row>
    <row r="130" spans="1:26" s="143" customFormat="1">
      <c r="A130" s="139" t="s">
        <v>18</v>
      </c>
      <c r="B130" s="139" t="s">
        <v>51</v>
      </c>
      <c r="C130" s="139"/>
      <c r="D130" s="156" t="s">
        <v>286</v>
      </c>
      <c r="E130" s="139"/>
      <c r="F130" s="139"/>
      <c r="G130" s="139"/>
      <c r="H130" s="139"/>
      <c r="I130" s="139"/>
      <c r="J130" s="139"/>
      <c r="K130" s="139"/>
      <c r="L130" s="139"/>
      <c r="M130" s="139"/>
      <c r="N130" s="139"/>
      <c r="O130" s="139"/>
      <c r="P130" s="139"/>
      <c r="Q130" s="139"/>
      <c r="R130" s="139"/>
      <c r="S130" s="139"/>
      <c r="T130" s="139"/>
      <c r="U130" s="139"/>
      <c r="V130" s="139"/>
      <c r="W130" s="139"/>
      <c r="X130" s="139"/>
      <c r="Y130" s="139"/>
      <c r="Z130" s="139"/>
    </row>
    <row r="131" spans="1:26" s="143" customFormat="1" ht="13.2">
      <c r="A131" s="291" t="s">
        <v>36</v>
      </c>
      <c r="B131" s="291" t="s">
        <v>1600</v>
      </c>
      <c r="C131" s="291"/>
      <c r="D131" s="294" t="s">
        <v>1607</v>
      </c>
      <c r="E131" s="291"/>
      <c r="F131" s="291"/>
      <c r="G131" s="291"/>
      <c r="H131" s="291"/>
      <c r="I131" s="291"/>
      <c r="J131" s="291"/>
      <c r="K131" s="291"/>
      <c r="L131" s="291"/>
      <c r="M131" s="291"/>
      <c r="N131" s="291"/>
      <c r="O131" s="291"/>
      <c r="P131" s="291"/>
      <c r="Q131" s="291"/>
      <c r="R131" s="291"/>
      <c r="S131" s="291"/>
      <c r="T131" s="291"/>
      <c r="U131" s="291"/>
      <c r="V131" s="291"/>
      <c r="W131" s="291"/>
      <c r="X131" s="291"/>
      <c r="Y131" s="291"/>
      <c r="Z131" s="291"/>
    </row>
    <row r="132" spans="1:26" s="143" customFormat="1">
      <c r="A132" s="143" t="s">
        <v>429</v>
      </c>
      <c r="B132" s="143" t="s">
        <v>424</v>
      </c>
      <c r="D132" s="151"/>
    </row>
    <row r="133" spans="1:26" s="143" customFormat="1">
      <c r="A133" s="143" t="s">
        <v>23</v>
      </c>
      <c r="B133" s="143" t="s">
        <v>19</v>
      </c>
      <c r="D133" s="147"/>
    </row>
    <row r="134" spans="1:26" s="143" customFormat="1">
      <c r="A134" s="143" t="s">
        <v>23</v>
      </c>
      <c r="B134" s="143" t="s">
        <v>19</v>
      </c>
      <c r="D134" s="147" t="s">
        <v>434</v>
      </c>
    </row>
    <row r="135" spans="1:26" s="143" customFormat="1">
      <c r="A135" s="143" t="s">
        <v>23</v>
      </c>
      <c r="B135" s="143" t="s">
        <v>19</v>
      </c>
      <c r="D135" s="151" t="s">
        <v>402</v>
      </c>
    </row>
    <row r="136" spans="1:26" s="143" customFormat="1">
      <c r="A136" s="143" t="s">
        <v>168</v>
      </c>
      <c r="B136" s="143" t="s">
        <v>19</v>
      </c>
      <c r="D136" s="147" t="s">
        <v>382</v>
      </c>
    </row>
    <row r="137" spans="1:26" s="143" customFormat="1">
      <c r="A137" s="143" t="s">
        <v>23</v>
      </c>
      <c r="B137" s="143" t="s">
        <v>19</v>
      </c>
      <c r="D137" s="151"/>
    </row>
    <row r="138" spans="1:26" s="225" customFormat="1">
      <c r="A138" s="143" t="s">
        <v>23</v>
      </c>
      <c r="B138" s="143" t="s">
        <v>19</v>
      </c>
      <c r="C138" s="143"/>
      <c r="D138" s="151"/>
      <c r="E138" s="143"/>
      <c r="F138" s="143"/>
      <c r="G138" s="143"/>
      <c r="H138" s="143"/>
      <c r="I138" s="143"/>
      <c r="J138" s="143"/>
      <c r="K138" s="143"/>
      <c r="L138" s="143"/>
      <c r="M138" s="143"/>
      <c r="N138" s="143"/>
      <c r="O138" s="143"/>
      <c r="P138" s="143"/>
      <c r="Q138" s="143"/>
      <c r="R138" s="143"/>
      <c r="S138" s="143"/>
      <c r="T138" s="143"/>
      <c r="U138" s="143"/>
      <c r="V138" s="143"/>
      <c r="W138" s="143"/>
      <c r="X138" s="143"/>
      <c r="Y138" s="143"/>
      <c r="Z138" s="143"/>
    </row>
    <row r="139" spans="1:26">
      <c r="A139" s="143" t="s">
        <v>18</v>
      </c>
      <c r="B139" s="143" t="s">
        <v>19</v>
      </c>
      <c r="C139" s="143"/>
      <c r="D139" s="147" t="s">
        <v>445</v>
      </c>
      <c r="E139" s="143"/>
      <c r="F139" s="143"/>
      <c r="G139" s="143"/>
      <c r="H139" s="143"/>
      <c r="I139" s="143"/>
      <c r="J139" s="143"/>
      <c r="K139" s="143"/>
      <c r="L139" s="143"/>
      <c r="M139" s="143"/>
      <c r="N139" s="143"/>
      <c r="O139" s="143"/>
      <c r="P139" s="143"/>
      <c r="Q139" s="143"/>
      <c r="R139" s="143"/>
      <c r="S139" s="143"/>
      <c r="T139" s="143"/>
      <c r="U139" s="143"/>
      <c r="V139" s="143"/>
      <c r="W139" s="143"/>
      <c r="X139" s="143"/>
      <c r="Y139" s="143"/>
      <c r="Z139" s="143"/>
    </row>
    <row r="140" spans="1:26">
      <c r="A140" s="143" t="s">
        <v>23</v>
      </c>
      <c r="B140" s="143" t="s">
        <v>19</v>
      </c>
      <c r="C140" s="143" t="s">
        <v>476</v>
      </c>
      <c r="D140" s="147" t="s">
        <v>472</v>
      </c>
      <c r="E140" s="143"/>
      <c r="F140" s="143"/>
      <c r="G140" s="143"/>
      <c r="H140" s="143"/>
      <c r="I140" s="143"/>
      <c r="J140" s="143"/>
      <c r="K140" s="143"/>
      <c r="L140" s="143"/>
      <c r="M140" s="143"/>
      <c r="N140" s="143"/>
      <c r="O140" s="143"/>
      <c r="P140" s="143"/>
      <c r="Q140" s="143"/>
      <c r="R140" s="143"/>
      <c r="S140" s="143"/>
      <c r="T140" s="143"/>
      <c r="U140" s="143"/>
      <c r="V140" s="143"/>
      <c r="W140" s="143"/>
      <c r="X140" s="143"/>
      <c r="Y140" s="143"/>
      <c r="Z140" s="143"/>
    </row>
    <row r="141" spans="1:26">
      <c r="A141" s="143" t="s">
        <v>168</v>
      </c>
      <c r="B141" s="143" t="s">
        <v>19</v>
      </c>
      <c r="C141" s="143" t="s">
        <v>459</v>
      </c>
      <c r="D141" s="147" t="s">
        <v>461</v>
      </c>
      <c r="E141" s="143"/>
      <c r="F141" s="143"/>
      <c r="G141" s="143"/>
      <c r="H141" s="143"/>
      <c r="I141" s="143"/>
      <c r="J141" s="143"/>
      <c r="K141" s="143"/>
      <c r="L141" s="143"/>
      <c r="M141" s="143"/>
      <c r="N141" s="143"/>
      <c r="O141" s="143"/>
      <c r="P141" s="143"/>
      <c r="Q141" s="143"/>
      <c r="R141" s="143"/>
      <c r="S141" s="143"/>
      <c r="T141" s="143"/>
      <c r="U141" s="143"/>
      <c r="V141" s="143"/>
      <c r="W141" s="143"/>
      <c r="X141" s="143"/>
      <c r="Y141" s="143"/>
      <c r="Z141" s="143"/>
    </row>
    <row r="142" spans="1:26">
      <c r="A142" s="143" t="s">
        <v>23</v>
      </c>
      <c r="B142" s="143" t="s">
        <v>19</v>
      </c>
      <c r="C142" s="143"/>
      <c r="D142" s="147" t="s">
        <v>492</v>
      </c>
      <c r="E142" s="143"/>
      <c r="F142" s="143"/>
      <c r="G142" s="143"/>
      <c r="H142" s="143"/>
      <c r="I142" s="143"/>
      <c r="J142" s="143"/>
      <c r="K142" s="143"/>
      <c r="L142" s="143"/>
      <c r="M142" s="143"/>
      <c r="N142" s="143"/>
      <c r="O142" s="143"/>
      <c r="P142" s="143"/>
      <c r="Q142" s="143"/>
      <c r="R142" s="143"/>
      <c r="S142" s="143"/>
      <c r="T142" s="143"/>
      <c r="U142" s="143"/>
      <c r="V142" s="143"/>
      <c r="W142" s="143"/>
      <c r="X142" s="143"/>
      <c r="Y142" s="143"/>
      <c r="Z142" s="143"/>
    </row>
    <row r="143" spans="1:26">
      <c r="A143" s="143" t="s">
        <v>23</v>
      </c>
      <c r="B143" s="143" t="s">
        <v>19</v>
      </c>
      <c r="C143" s="143"/>
      <c r="D143" s="147" t="s">
        <v>485</v>
      </c>
      <c r="E143" s="143"/>
      <c r="F143" s="143"/>
      <c r="G143" s="143"/>
      <c r="H143" s="143"/>
      <c r="I143" s="143"/>
      <c r="J143" s="143"/>
      <c r="K143" s="143"/>
      <c r="L143" s="143"/>
      <c r="M143" s="143"/>
      <c r="N143" s="143"/>
      <c r="O143" s="143"/>
      <c r="P143" s="143"/>
      <c r="Q143" s="143"/>
      <c r="R143" s="143"/>
      <c r="S143" s="143"/>
      <c r="T143" s="143"/>
      <c r="U143" s="143"/>
      <c r="V143" s="143"/>
      <c r="W143" s="143"/>
      <c r="X143" s="143"/>
      <c r="Y143" s="143"/>
      <c r="Z143" s="143"/>
    </row>
    <row r="144" spans="1:26">
      <c r="A144" s="143" t="s">
        <v>18</v>
      </c>
      <c r="B144" s="143" t="s">
        <v>19</v>
      </c>
      <c r="C144" s="143"/>
      <c r="D144" s="147" t="s">
        <v>514</v>
      </c>
      <c r="E144" s="143"/>
      <c r="F144" s="143"/>
      <c r="G144" s="143"/>
      <c r="H144" s="143"/>
      <c r="I144" s="143"/>
      <c r="J144" s="143"/>
      <c r="K144" s="143"/>
      <c r="L144" s="143"/>
      <c r="M144" s="143"/>
      <c r="N144" s="143"/>
      <c r="O144" s="143"/>
      <c r="P144" s="143"/>
      <c r="Q144" s="143"/>
      <c r="R144" s="143"/>
      <c r="S144" s="143"/>
      <c r="T144" s="143"/>
      <c r="U144" s="143"/>
      <c r="V144" s="143"/>
      <c r="W144" s="143"/>
      <c r="X144" s="143"/>
      <c r="Y144" s="143"/>
      <c r="Z144" s="143"/>
    </row>
    <row r="145" spans="1:26">
      <c r="A145" s="143" t="s">
        <v>18</v>
      </c>
      <c r="B145" s="143" t="s">
        <v>19</v>
      </c>
      <c r="C145" s="143"/>
      <c r="D145" s="147" t="s">
        <v>482</v>
      </c>
      <c r="E145" s="143"/>
      <c r="F145" s="143"/>
      <c r="G145" s="143"/>
      <c r="H145" s="143"/>
      <c r="I145" s="143"/>
      <c r="J145" s="143"/>
      <c r="K145" s="143"/>
      <c r="L145" s="143"/>
      <c r="M145" s="143"/>
      <c r="N145" s="143"/>
      <c r="O145" s="143"/>
      <c r="P145" s="143"/>
      <c r="Q145" s="143"/>
      <c r="R145" s="143"/>
      <c r="S145" s="143"/>
      <c r="T145" s="143"/>
      <c r="U145" s="143"/>
      <c r="V145" s="143"/>
      <c r="W145" s="143"/>
      <c r="X145" s="143"/>
      <c r="Y145" s="143"/>
      <c r="Z145" s="143"/>
    </row>
    <row r="146" spans="1:26">
      <c r="A146" s="143" t="s">
        <v>23</v>
      </c>
      <c r="B146" s="143" t="s">
        <v>19</v>
      </c>
      <c r="C146" s="143"/>
      <c r="D146" s="147" t="s">
        <v>525</v>
      </c>
      <c r="E146" s="143"/>
      <c r="F146" s="143"/>
      <c r="G146" s="143"/>
      <c r="H146" s="143"/>
      <c r="I146" s="143"/>
      <c r="J146" s="143"/>
      <c r="K146" s="143"/>
      <c r="L146" s="143"/>
      <c r="M146" s="143"/>
      <c r="N146" s="143"/>
      <c r="O146" s="143"/>
      <c r="P146" s="143"/>
      <c r="Q146" s="143"/>
      <c r="R146" s="143"/>
      <c r="S146" s="143"/>
      <c r="T146" s="143"/>
      <c r="U146" s="143"/>
      <c r="V146" s="143"/>
      <c r="W146" s="143"/>
      <c r="X146" s="143"/>
      <c r="Y146" s="143"/>
      <c r="Z146" s="143"/>
    </row>
    <row r="147" spans="1:26">
      <c r="A147" s="143" t="s">
        <v>54</v>
      </c>
      <c r="B147" s="143" t="s">
        <v>19</v>
      </c>
      <c r="C147" s="143"/>
      <c r="D147" s="147" t="s">
        <v>546</v>
      </c>
      <c r="E147" s="143"/>
      <c r="F147" s="143"/>
      <c r="G147" s="143"/>
      <c r="H147" s="143"/>
      <c r="I147" s="143"/>
      <c r="J147" s="143"/>
      <c r="K147" s="143"/>
      <c r="L147" s="143"/>
      <c r="M147" s="143"/>
      <c r="N147" s="143"/>
      <c r="O147" s="143"/>
      <c r="P147" s="143"/>
      <c r="Q147" s="143"/>
      <c r="R147" s="143"/>
      <c r="S147" s="143"/>
      <c r="T147" s="143"/>
      <c r="U147" s="143"/>
      <c r="V147" s="143"/>
      <c r="W147" s="143"/>
      <c r="X147" s="143"/>
      <c r="Y147" s="143"/>
      <c r="Z147" s="143"/>
    </row>
    <row r="148" spans="1:26">
      <c r="A148" s="143" t="s">
        <v>18</v>
      </c>
      <c r="B148" s="143" t="s">
        <v>19</v>
      </c>
      <c r="C148" s="143"/>
      <c r="D148" s="147" t="s">
        <v>532</v>
      </c>
      <c r="E148" s="143"/>
      <c r="F148" s="143"/>
      <c r="G148" s="143"/>
      <c r="H148" s="143"/>
      <c r="I148" s="143"/>
      <c r="J148" s="143"/>
      <c r="K148" s="143"/>
      <c r="L148" s="143"/>
      <c r="M148" s="143"/>
      <c r="N148" s="143"/>
      <c r="O148" s="143"/>
      <c r="P148" s="143"/>
      <c r="Q148" s="143"/>
      <c r="R148" s="143"/>
      <c r="S148" s="143"/>
      <c r="T148" s="143"/>
      <c r="U148" s="143"/>
      <c r="V148" s="143"/>
      <c r="W148" s="143"/>
      <c r="X148" s="143"/>
      <c r="Y148" s="143"/>
      <c r="Z148" s="143"/>
    </row>
    <row r="149" spans="1:26">
      <c r="A149" s="143" t="s">
        <v>168</v>
      </c>
      <c r="B149" s="143" t="s">
        <v>19</v>
      </c>
      <c r="C149" s="143"/>
      <c r="D149" s="147" t="s">
        <v>536</v>
      </c>
      <c r="E149" s="143"/>
      <c r="F149" s="143"/>
      <c r="G149" s="143"/>
      <c r="H149" s="143"/>
      <c r="I149" s="143"/>
      <c r="J149" s="143"/>
      <c r="K149" s="143"/>
      <c r="L149" s="143"/>
      <c r="M149" s="143"/>
      <c r="N149" s="143"/>
      <c r="O149" s="143"/>
      <c r="P149" s="143"/>
      <c r="Q149" s="143"/>
      <c r="R149" s="143"/>
      <c r="S149" s="143"/>
      <c r="T149" s="143"/>
      <c r="U149" s="143"/>
      <c r="V149" s="143"/>
      <c r="W149" s="143"/>
      <c r="X149" s="143"/>
      <c r="Y149" s="143"/>
      <c r="Z149" s="143"/>
    </row>
    <row r="150" spans="1:26">
      <c r="A150" s="143" t="s">
        <v>168</v>
      </c>
      <c r="B150" s="143" t="s">
        <v>19</v>
      </c>
      <c r="C150" s="143"/>
      <c r="D150" s="147" t="s">
        <v>572</v>
      </c>
      <c r="E150" s="143"/>
      <c r="F150" s="143"/>
      <c r="G150" s="143"/>
      <c r="H150" s="143"/>
      <c r="I150" s="143"/>
      <c r="J150" s="143"/>
      <c r="K150" s="143"/>
      <c r="L150" s="143"/>
      <c r="M150" s="143"/>
      <c r="N150" s="143"/>
      <c r="O150" s="143"/>
      <c r="P150" s="143"/>
      <c r="Q150" s="143"/>
      <c r="R150" s="143"/>
      <c r="S150" s="143"/>
      <c r="T150" s="143"/>
      <c r="U150" s="143"/>
      <c r="V150" s="143"/>
      <c r="W150" s="143"/>
      <c r="X150" s="143"/>
      <c r="Y150" s="143"/>
      <c r="Z150" s="143"/>
    </row>
    <row r="151" spans="1:26" s="143" customFormat="1">
      <c r="A151" s="143" t="s">
        <v>23</v>
      </c>
      <c r="B151" s="143" t="s">
        <v>19</v>
      </c>
      <c r="D151" s="147" t="s">
        <v>593</v>
      </c>
    </row>
    <row r="152" spans="1:26" s="143" customFormat="1">
      <c r="A152" s="143" t="s">
        <v>23</v>
      </c>
      <c r="B152" s="143" t="s">
        <v>19</v>
      </c>
      <c r="D152" s="147" t="s">
        <v>485</v>
      </c>
    </row>
    <row r="153" spans="1:26" s="225" customFormat="1">
      <c r="A153" s="143" t="s">
        <v>642</v>
      </c>
      <c r="B153" s="143" t="s">
        <v>19</v>
      </c>
      <c r="C153" s="143"/>
      <c r="D153" s="151"/>
      <c r="E153" s="143"/>
      <c r="F153" s="143"/>
      <c r="G153" s="143"/>
      <c r="H153" s="143"/>
      <c r="I153" s="143"/>
      <c r="J153" s="143"/>
      <c r="K153" s="143"/>
      <c r="L153" s="143"/>
      <c r="M153" s="143"/>
      <c r="N153" s="143"/>
      <c r="O153" s="143"/>
      <c r="P153" s="143"/>
      <c r="Q153" s="143"/>
      <c r="R153" s="143"/>
      <c r="S153" s="143"/>
      <c r="T153" s="143"/>
      <c r="U153" s="143"/>
      <c r="V153" s="143"/>
      <c r="W153" s="143"/>
      <c r="X153" s="143"/>
      <c r="Y153" s="143"/>
      <c r="Z153" s="143"/>
    </row>
    <row r="154" spans="1:26" s="143" customFormat="1">
      <c r="A154" s="143" t="s">
        <v>54</v>
      </c>
      <c r="B154" s="143" t="s">
        <v>19</v>
      </c>
      <c r="D154" s="147" t="s">
        <v>352</v>
      </c>
    </row>
    <row r="155" spans="1:26" s="143" customFormat="1">
      <c r="A155" s="143" t="s">
        <v>18</v>
      </c>
      <c r="B155" s="143" t="s">
        <v>19</v>
      </c>
      <c r="D155" s="147" t="s">
        <v>657</v>
      </c>
    </row>
    <row r="156" spans="1:26" s="143" customFormat="1">
      <c r="A156" s="143" t="s">
        <v>168</v>
      </c>
      <c r="B156" s="143" t="s">
        <v>19</v>
      </c>
      <c r="D156" s="151" t="s">
        <v>623</v>
      </c>
    </row>
    <row r="157" spans="1:26" s="143" customFormat="1" ht="13.2">
      <c r="B157" s="143" t="s">
        <v>19</v>
      </c>
      <c r="C157" s="175"/>
      <c r="D157" s="147" t="s">
        <v>609</v>
      </c>
    </row>
    <row r="158" spans="1:26" s="143" customFormat="1">
      <c r="A158" s="143" t="s">
        <v>168</v>
      </c>
      <c r="B158" s="143" t="s">
        <v>19</v>
      </c>
      <c r="D158" s="147" t="s">
        <v>638</v>
      </c>
    </row>
    <row r="159" spans="1:26" s="143" customFormat="1">
      <c r="A159" s="219" t="s">
        <v>23</v>
      </c>
      <c r="B159" s="219" t="s">
        <v>19</v>
      </c>
      <c r="C159" s="219"/>
      <c r="D159" s="222" t="s">
        <v>704</v>
      </c>
      <c r="E159" s="219"/>
      <c r="F159" s="219"/>
      <c r="G159" s="219"/>
      <c r="H159" s="219"/>
      <c r="I159" s="219"/>
      <c r="J159" s="219"/>
      <c r="K159" s="219"/>
      <c r="L159" s="219"/>
      <c r="M159" s="219"/>
      <c r="N159" s="219"/>
      <c r="O159" s="219"/>
      <c r="P159" s="219"/>
      <c r="Q159" s="219"/>
      <c r="R159" s="219"/>
      <c r="S159" s="219"/>
      <c r="T159" s="219"/>
      <c r="U159" s="219"/>
      <c r="V159" s="219"/>
      <c r="W159" s="219"/>
      <c r="X159" s="219"/>
      <c r="Y159" s="219"/>
      <c r="Z159" s="219"/>
    </row>
    <row r="160" spans="1:26" s="143" customFormat="1">
      <c r="A160" s="219" t="s">
        <v>23</v>
      </c>
      <c r="B160" s="219" t="s">
        <v>19</v>
      </c>
      <c r="C160" s="219"/>
      <c r="D160" s="222" t="s">
        <v>413</v>
      </c>
      <c r="E160" s="219"/>
      <c r="F160" s="219"/>
      <c r="G160" s="219"/>
      <c r="H160" s="219"/>
      <c r="I160" s="219"/>
      <c r="J160" s="219"/>
      <c r="K160" s="219"/>
      <c r="L160" s="219"/>
      <c r="M160" s="219"/>
      <c r="N160" s="219"/>
      <c r="O160" s="219"/>
      <c r="P160" s="219"/>
      <c r="Q160" s="219"/>
      <c r="R160" s="219"/>
      <c r="S160" s="219"/>
      <c r="T160" s="219"/>
      <c r="U160" s="219"/>
      <c r="V160" s="219"/>
      <c r="W160" s="219"/>
      <c r="X160" s="219"/>
      <c r="Y160" s="219"/>
      <c r="Z160" s="219"/>
    </row>
    <row r="161" spans="1:26" s="143" customFormat="1">
      <c r="A161" s="219" t="s">
        <v>23</v>
      </c>
      <c r="B161" s="219" t="s">
        <v>19</v>
      </c>
      <c r="C161" s="219"/>
      <c r="D161" s="222" t="s">
        <v>743</v>
      </c>
      <c r="E161" s="219"/>
      <c r="F161" s="219"/>
      <c r="G161" s="219"/>
      <c r="H161" s="219"/>
      <c r="I161" s="219"/>
      <c r="J161" s="219"/>
      <c r="K161" s="219"/>
      <c r="L161" s="219"/>
      <c r="M161" s="219"/>
      <c r="N161" s="219"/>
      <c r="O161" s="219"/>
      <c r="P161" s="219"/>
      <c r="Q161" s="219"/>
      <c r="R161" s="219"/>
      <c r="S161" s="219"/>
      <c r="T161" s="219"/>
      <c r="U161" s="219"/>
      <c r="V161" s="219"/>
      <c r="W161" s="219"/>
      <c r="X161" s="219"/>
      <c r="Y161" s="219"/>
      <c r="Z161" s="219"/>
    </row>
    <row r="162" spans="1:26" s="225" customFormat="1">
      <c r="A162" s="219" t="s">
        <v>23</v>
      </c>
      <c r="B162" s="219" t="s">
        <v>19</v>
      </c>
      <c r="C162" s="219"/>
      <c r="D162" s="222" t="s">
        <v>690</v>
      </c>
      <c r="E162" s="219"/>
      <c r="F162" s="219"/>
      <c r="G162" s="219"/>
      <c r="H162" s="219"/>
      <c r="I162" s="219"/>
      <c r="J162" s="219"/>
      <c r="K162" s="219"/>
      <c r="L162" s="219"/>
      <c r="M162" s="219"/>
      <c r="N162" s="219"/>
      <c r="O162" s="219"/>
      <c r="P162" s="219"/>
      <c r="Q162" s="219"/>
      <c r="R162" s="219"/>
      <c r="S162" s="219"/>
      <c r="T162" s="219"/>
      <c r="U162" s="219"/>
      <c r="V162" s="219"/>
      <c r="W162" s="219"/>
      <c r="X162" s="219"/>
      <c r="Y162" s="219"/>
      <c r="Z162" s="219"/>
    </row>
    <row r="163" spans="1:26" s="143" customFormat="1">
      <c r="A163" s="219" t="s">
        <v>23</v>
      </c>
      <c r="B163" s="219" t="s">
        <v>19</v>
      </c>
      <c r="C163" s="219"/>
      <c r="D163" s="222" t="s">
        <v>754</v>
      </c>
      <c r="E163" s="219"/>
      <c r="F163" s="219"/>
      <c r="G163" s="219"/>
      <c r="H163" s="219"/>
      <c r="I163" s="219"/>
      <c r="J163" s="219"/>
      <c r="K163" s="219"/>
      <c r="L163" s="219"/>
      <c r="M163" s="219"/>
      <c r="N163" s="219"/>
      <c r="O163" s="219"/>
      <c r="P163" s="219"/>
      <c r="Q163" s="219"/>
      <c r="R163" s="219"/>
      <c r="S163" s="219"/>
      <c r="T163" s="219"/>
      <c r="U163" s="219"/>
      <c r="V163" s="219"/>
      <c r="W163" s="219"/>
      <c r="X163" s="219"/>
      <c r="Y163" s="219"/>
      <c r="Z163" s="219"/>
    </row>
    <row r="164" spans="1:26" s="143" customFormat="1">
      <c r="A164" s="219" t="s">
        <v>54</v>
      </c>
      <c r="B164" s="219" t="s">
        <v>19</v>
      </c>
      <c r="C164" s="219"/>
      <c r="D164" s="222" t="s">
        <v>352</v>
      </c>
      <c r="E164" s="219"/>
      <c r="F164" s="219"/>
      <c r="G164" s="219"/>
      <c r="H164" s="219"/>
      <c r="I164" s="219"/>
      <c r="J164" s="219"/>
      <c r="K164" s="219"/>
      <c r="L164" s="219"/>
      <c r="M164" s="219"/>
      <c r="N164" s="219"/>
      <c r="O164" s="219"/>
      <c r="P164" s="219"/>
      <c r="Q164" s="219"/>
      <c r="R164" s="219"/>
      <c r="S164" s="219"/>
      <c r="T164" s="219"/>
      <c r="U164" s="219"/>
      <c r="V164" s="219"/>
      <c r="W164" s="219"/>
      <c r="X164" s="219"/>
      <c r="Y164" s="219"/>
      <c r="Z164" s="219"/>
    </row>
    <row r="165" spans="1:26" s="143" customFormat="1">
      <c r="A165" s="219" t="s">
        <v>103</v>
      </c>
      <c r="B165" s="219" t="s">
        <v>19</v>
      </c>
      <c r="C165" s="219"/>
      <c r="D165" s="222" t="s">
        <v>767</v>
      </c>
      <c r="E165" s="219"/>
      <c r="F165" s="219"/>
      <c r="G165" s="219"/>
      <c r="H165" s="219"/>
      <c r="I165" s="219"/>
      <c r="J165" s="219"/>
      <c r="K165" s="219"/>
      <c r="L165" s="219"/>
      <c r="M165" s="219"/>
      <c r="N165" s="219"/>
      <c r="O165" s="219"/>
      <c r="P165" s="219"/>
      <c r="Q165" s="219"/>
      <c r="R165" s="219"/>
      <c r="S165" s="219"/>
      <c r="T165" s="219"/>
      <c r="U165" s="219"/>
      <c r="V165" s="219"/>
      <c r="W165" s="219"/>
      <c r="X165" s="219"/>
      <c r="Y165" s="219"/>
      <c r="Z165" s="219"/>
    </row>
    <row r="166" spans="1:26" s="143" customFormat="1">
      <c r="A166" s="219" t="s">
        <v>168</v>
      </c>
      <c r="B166" s="219" t="s">
        <v>19</v>
      </c>
      <c r="C166" s="219"/>
      <c r="D166" s="232"/>
      <c r="E166" s="219"/>
      <c r="F166" s="219"/>
      <c r="G166" s="219"/>
      <c r="H166" s="219"/>
      <c r="I166" s="219"/>
      <c r="J166" s="219"/>
      <c r="K166" s="219"/>
      <c r="L166" s="219"/>
      <c r="M166" s="219"/>
      <c r="N166" s="219"/>
      <c r="O166" s="219"/>
      <c r="P166" s="219"/>
      <c r="Q166" s="219"/>
      <c r="R166" s="219"/>
      <c r="S166" s="219"/>
      <c r="T166" s="219"/>
      <c r="U166" s="219"/>
      <c r="V166" s="219"/>
      <c r="W166" s="219"/>
      <c r="X166" s="219"/>
      <c r="Y166" s="219"/>
      <c r="Z166" s="219"/>
    </row>
    <row r="167" spans="1:26" s="143" customFormat="1">
      <c r="A167" s="219" t="s">
        <v>168</v>
      </c>
      <c r="B167" s="219" t="s">
        <v>19</v>
      </c>
      <c r="C167" s="219"/>
      <c r="D167" s="222"/>
      <c r="E167" s="219"/>
      <c r="F167" s="219"/>
      <c r="G167" s="219"/>
      <c r="H167" s="219"/>
      <c r="I167" s="219"/>
      <c r="J167" s="219"/>
      <c r="K167" s="219"/>
      <c r="L167" s="219"/>
      <c r="M167" s="219"/>
      <c r="N167" s="219"/>
      <c r="O167" s="219"/>
      <c r="P167" s="219"/>
      <c r="Q167" s="219"/>
      <c r="R167" s="219"/>
      <c r="S167" s="219"/>
      <c r="T167" s="219"/>
      <c r="U167" s="219"/>
      <c r="V167" s="219"/>
      <c r="W167" s="219"/>
      <c r="X167" s="219"/>
      <c r="Y167" s="219"/>
      <c r="Z167" s="219"/>
    </row>
    <row r="168" spans="1:26">
      <c r="A168" s="143" t="s">
        <v>168</v>
      </c>
      <c r="B168" s="143" t="s">
        <v>19</v>
      </c>
      <c r="C168" s="143"/>
      <c r="D168" s="147" t="s">
        <v>727</v>
      </c>
      <c r="E168" s="143"/>
      <c r="F168" s="143"/>
      <c r="G168" s="143"/>
      <c r="H168" s="143"/>
      <c r="I168" s="143"/>
      <c r="J168" s="143"/>
      <c r="K168" s="143"/>
      <c r="L168" s="143"/>
      <c r="M168" s="143"/>
      <c r="N168" s="143"/>
      <c r="O168" s="143"/>
      <c r="P168" s="143"/>
      <c r="Q168" s="143"/>
      <c r="R168" s="143"/>
      <c r="S168" s="143"/>
      <c r="T168" s="143"/>
      <c r="U168" s="143"/>
      <c r="V168" s="143"/>
      <c r="W168" s="143"/>
      <c r="X168" s="143"/>
      <c r="Y168" s="143"/>
      <c r="Z168" s="143"/>
    </row>
    <row r="169" spans="1:26">
      <c r="A169" s="143" t="s">
        <v>23</v>
      </c>
      <c r="B169" s="143" t="s">
        <v>19</v>
      </c>
      <c r="C169" s="143"/>
      <c r="D169" s="147" t="s">
        <v>731</v>
      </c>
      <c r="E169" s="143"/>
      <c r="F169" s="143"/>
      <c r="G169" s="143"/>
      <c r="H169" s="143"/>
      <c r="I169" s="143"/>
      <c r="J169" s="143"/>
      <c r="K169" s="143"/>
      <c r="L169" s="143"/>
      <c r="M169" s="143"/>
      <c r="N169" s="143"/>
      <c r="O169" s="143"/>
      <c r="P169" s="143"/>
      <c r="Q169" s="143"/>
      <c r="R169" s="143"/>
      <c r="S169" s="143"/>
      <c r="T169" s="143"/>
      <c r="U169" s="143"/>
      <c r="V169" s="143"/>
      <c r="W169" s="143"/>
      <c r="X169" s="143"/>
      <c r="Y169" s="143"/>
      <c r="Z169" s="143"/>
    </row>
    <row r="170" spans="1:26">
      <c r="A170" s="143" t="s">
        <v>23</v>
      </c>
      <c r="B170" s="143" t="s">
        <v>19</v>
      </c>
      <c r="C170" s="143"/>
      <c r="D170" s="147" t="s">
        <v>174</v>
      </c>
      <c r="E170" s="143"/>
      <c r="F170" s="143"/>
      <c r="G170" s="143"/>
      <c r="H170" s="143"/>
      <c r="I170" s="143"/>
      <c r="J170" s="143"/>
      <c r="K170" s="143"/>
      <c r="L170" s="143"/>
      <c r="M170" s="143"/>
      <c r="N170" s="143"/>
      <c r="O170" s="143"/>
      <c r="P170" s="143"/>
      <c r="Q170" s="143"/>
      <c r="R170" s="143"/>
      <c r="S170" s="143"/>
      <c r="T170" s="143"/>
      <c r="U170" s="143"/>
      <c r="V170" s="143"/>
      <c r="W170" s="143"/>
      <c r="X170" s="143"/>
      <c r="Y170" s="143"/>
      <c r="Z170" s="143"/>
    </row>
    <row r="171" spans="1:26">
      <c r="A171" s="143" t="s">
        <v>23</v>
      </c>
      <c r="B171" s="143" t="s">
        <v>19</v>
      </c>
      <c r="C171" s="143"/>
      <c r="D171" s="147" t="s">
        <v>784</v>
      </c>
      <c r="E171" s="143"/>
      <c r="F171" s="143"/>
      <c r="G171" s="143"/>
      <c r="H171" s="143"/>
      <c r="I171" s="143"/>
      <c r="J171" s="143"/>
      <c r="K171" s="143"/>
      <c r="L171" s="143"/>
      <c r="M171" s="143"/>
      <c r="N171" s="143"/>
      <c r="O171" s="143"/>
      <c r="P171" s="143"/>
      <c r="Q171" s="143"/>
      <c r="R171" s="143"/>
      <c r="S171" s="143"/>
      <c r="T171" s="143"/>
      <c r="U171" s="143"/>
      <c r="V171" s="143"/>
      <c r="W171" s="143"/>
      <c r="X171" s="143"/>
      <c r="Y171" s="143"/>
      <c r="Z171" s="143"/>
    </row>
    <row r="172" spans="1:26">
      <c r="A172" s="225" t="s">
        <v>168</v>
      </c>
      <c r="B172" s="225" t="s">
        <v>19</v>
      </c>
      <c r="C172" s="225"/>
      <c r="D172" s="228" t="s">
        <v>800</v>
      </c>
      <c r="E172" s="225"/>
      <c r="F172" s="225"/>
      <c r="G172" s="225"/>
      <c r="H172" s="225"/>
      <c r="I172" s="225"/>
      <c r="J172" s="225"/>
      <c r="K172" s="225"/>
      <c r="L172" s="225"/>
      <c r="M172" s="225"/>
      <c r="N172" s="225"/>
      <c r="O172" s="225"/>
      <c r="P172" s="225"/>
      <c r="Q172" s="225"/>
      <c r="R172" s="225"/>
      <c r="S172" s="225"/>
      <c r="T172" s="225"/>
      <c r="U172" s="225"/>
      <c r="V172" s="225"/>
      <c r="W172" s="225"/>
      <c r="X172" s="225"/>
      <c r="Y172" s="225"/>
      <c r="Z172" s="225"/>
    </row>
    <row r="173" spans="1:26">
      <c r="A173" s="143" t="s">
        <v>23</v>
      </c>
      <c r="B173" s="143" t="s">
        <v>19</v>
      </c>
      <c r="C173" s="143"/>
      <c r="D173" s="147" t="s">
        <v>871</v>
      </c>
      <c r="E173" s="143"/>
      <c r="F173" s="143"/>
      <c r="G173" s="143"/>
      <c r="H173" s="143"/>
      <c r="I173" s="143"/>
      <c r="J173" s="143"/>
      <c r="K173" s="143"/>
      <c r="L173" s="143"/>
      <c r="M173" s="143"/>
      <c r="N173" s="143"/>
      <c r="O173" s="143"/>
      <c r="P173" s="143"/>
      <c r="Q173" s="143"/>
      <c r="R173" s="143"/>
      <c r="S173" s="143"/>
      <c r="T173" s="143"/>
      <c r="U173" s="143"/>
      <c r="V173" s="143"/>
      <c r="W173" s="143"/>
      <c r="X173" s="143"/>
      <c r="Y173" s="143"/>
      <c r="Z173" s="143"/>
    </row>
    <row r="174" spans="1:26">
      <c r="A174" s="143" t="s">
        <v>23</v>
      </c>
      <c r="B174" s="143" t="s">
        <v>19</v>
      </c>
      <c r="C174" s="143"/>
      <c r="D174" s="147" t="s">
        <v>492</v>
      </c>
      <c r="E174" s="143"/>
      <c r="F174" s="143"/>
      <c r="G174" s="143"/>
      <c r="H174" s="143"/>
      <c r="I174" s="143"/>
      <c r="J174" s="143"/>
      <c r="K174" s="143"/>
      <c r="L174" s="143"/>
      <c r="M174" s="143"/>
      <c r="N174" s="143"/>
      <c r="O174" s="143"/>
      <c r="P174" s="143"/>
      <c r="Q174" s="143"/>
      <c r="R174" s="143"/>
      <c r="S174" s="143"/>
      <c r="T174" s="143"/>
      <c r="U174" s="143"/>
      <c r="V174" s="143"/>
      <c r="W174" s="143"/>
      <c r="X174" s="143"/>
      <c r="Y174" s="143"/>
      <c r="Z174" s="143"/>
    </row>
    <row r="175" spans="1:26">
      <c r="A175" s="143" t="s">
        <v>23</v>
      </c>
      <c r="B175" s="143" t="s">
        <v>19</v>
      </c>
      <c r="C175" s="143"/>
      <c r="D175" s="147" t="s">
        <v>928</v>
      </c>
      <c r="E175" s="143"/>
      <c r="F175" s="143"/>
      <c r="G175" s="143"/>
      <c r="H175" s="143"/>
      <c r="I175" s="143"/>
      <c r="J175" s="143"/>
      <c r="K175" s="143"/>
      <c r="L175" s="143"/>
      <c r="M175" s="143"/>
      <c r="N175" s="143"/>
      <c r="O175" s="143"/>
      <c r="P175" s="143"/>
      <c r="Q175" s="143"/>
      <c r="R175" s="143"/>
      <c r="S175" s="143"/>
      <c r="T175" s="143"/>
      <c r="U175" s="143"/>
      <c r="V175" s="143"/>
      <c r="W175" s="143"/>
      <c r="X175" s="143"/>
      <c r="Y175" s="143"/>
      <c r="Z175" s="143"/>
    </row>
    <row r="176" spans="1:26">
      <c r="A176" s="143" t="s">
        <v>36</v>
      </c>
      <c r="B176" s="143" t="s">
        <v>19</v>
      </c>
      <c r="C176" s="143"/>
      <c r="D176" s="147" t="s">
        <v>825</v>
      </c>
      <c r="E176" s="143"/>
      <c r="F176" s="143"/>
      <c r="G176" s="143"/>
      <c r="H176" s="143"/>
      <c r="I176" s="143"/>
      <c r="J176" s="143"/>
      <c r="K176" s="143"/>
      <c r="L176" s="143"/>
      <c r="M176" s="143"/>
      <c r="N176" s="143"/>
      <c r="O176" s="143"/>
      <c r="P176" s="143"/>
      <c r="Q176" s="143"/>
      <c r="R176" s="143"/>
      <c r="S176" s="143"/>
      <c r="T176" s="143"/>
      <c r="U176" s="143"/>
      <c r="V176" s="143"/>
      <c r="W176" s="143"/>
      <c r="X176" s="143"/>
      <c r="Y176" s="143"/>
      <c r="Z176" s="143"/>
    </row>
    <row r="177" spans="1:26">
      <c r="A177" s="143" t="s">
        <v>54</v>
      </c>
      <c r="B177" s="143" t="s">
        <v>19</v>
      </c>
      <c r="C177" s="143"/>
      <c r="D177" s="147" t="s">
        <v>852</v>
      </c>
      <c r="E177" s="143"/>
      <c r="F177" s="143"/>
      <c r="G177" s="143"/>
      <c r="H177" s="143"/>
      <c r="I177" s="143"/>
      <c r="J177" s="143"/>
      <c r="K177" s="143"/>
      <c r="L177" s="143"/>
      <c r="M177" s="143"/>
      <c r="N177" s="143"/>
      <c r="O177" s="143"/>
      <c r="P177" s="143"/>
      <c r="Q177" s="143"/>
      <c r="R177" s="143"/>
      <c r="S177" s="143"/>
      <c r="T177" s="143"/>
      <c r="U177" s="143"/>
      <c r="V177" s="143"/>
      <c r="W177" s="143"/>
      <c r="X177" s="143"/>
      <c r="Y177" s="143"/>
      <c r="Z177" s="143"/>
    </row>
    <row r="178" spans="1:26" s="143" customFormat="1">
      <c r="A178" s="143" t="s">
        <v>944</v>
      </c>
      <c r="B178" s="143" t="s">
        <v>19</v>
      </c>
      <c r="D178" s="147" t="s">
        <v>990</v>
      </c>
    </row>
    <row r="179" spans="1:26">
      <c r="A179" s="143" t="s">
        <v>23</v>
      </c>
      <c r="B179" s="143" t="s">
        <v>19</v>
      </c>
      <c r="C179" s="143"/>
      <c r="D179" s="147" t="s">
        <v>485</v>
      </c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  <c r="Z179" s="143"/>
    </row>
    <row r="180" spans="1:26">
      <c r="A180" s="143" t="s">
        <v>23</v>
      </c>
      <c r="B180" s="143" t="s">
        <v>19</v>
      </c>
      <c r="C180" s="143"/>
      <c r="D180" s="147" t="s">
        <v>1042</v>
      </c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  <c r="Z180" s="143"/>
    </row>
    <row r="181" spans="1:26">
      <c r="A181" s="225" t="s">
        <v>23</v>
      </c>
      <c r="B181" s="225" t="s">
        <v>19</v>
      </c>
      <c r="C181" s="225"/>
      <c r="D181" s="228" t="s">
        <v>1004</v>
      </c>
      <c r="E181" s="225"/>
      <c r="F181" s="225"/>
      <c r="G181" s="225"/>
      <c r="H181" s="225"/>
      <c r="I181" s="225"/>
      <c r="J181" s="225"/>
      <c r="K181" s="225"/>
      <c r="L181" s="225"/>
      <c r="M181" s="225"/>
      <c r="N181" s="225"/>
      <c r="O181" s="225"/>
      <c r="P181" s="225"/>
      <c r="Q181" s="225"/>
      <c r="R181" s="225"/>
      <c r="S181" s="225"/>
      <c r="T181" s="225"/>
      <c r="U181" s="225"/>
      <c r="V181" s="225"/>
      <c r="W181" s="225"/>
      <c r="X181" s="225"/>
      <c r="Y181" s="225"/>
      <c r="Z181" s="225"/>
    </row>
    <row r="182" spans="1:26">
      <c r="A182" s="143" t="s">
        <v>23</v>
      </c>
      <c r="B182" s="143" t="s">
        <v>19</v>
      </c>
      <c r="C182" s="143"/>
      <c r="D182" s="147" t="s">
        <v>967</v>
      </c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  <c r="Z182" s="143"/>
    </row>
    <row r="183" spans="1:26">
      <c r="A183" s="225" t="s">
        <v>884</v>
      </c>
      <c r="B183" s="225" t="s">
        <v>19</v>
      </c>
      <c r="C183" s="225"/>
      <c r="D183" s="228" t="s">
        <v>1034</v>
      </c>
      <c r="E183" s="225"/>
      <c r="F183" s="225"/>
      <c r="G183" s="225"/>
      <c r="H183" s="225"/>
      <c r="I183" s="225"/>
      <c r="J183" s="225"/>
      <c r="K183" s="225"/>
      <c r="L183" s="225"/>
      <c r="M183" s="225"/>
      <c r="N183" s="225"/>
      <c r="O183" s="225"/>
      <c r="P183" s="225"/>
      <c r="Q183" s="225"/>
      <c r="R183" s="225"/>
      <c r="S183" s="225"/>
      <c r="T183" s="225"/>
      <c r="U183" s="225"/>
      <c r="V183" s="225"/>
      <c r="W183" s="225"/>
      <c r="X183" s="225"/>
      <c r="Y183" s="225"/>
      <c r="Z183" s="225"/>
    </row>
    <row r="184" spans="1:26">
      <c r="A184" s="143" t="s">
        <v>23</v>
      </c>
      <c r="B184" s="143" t="s">
        <v>19</v>
      </c>
      <c r="C184" s="143"/>
      <c r="D184" s="147" t="s">
        <v>1110</v>
      </c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  <c r="Z184" s="143"/>
    </row>
    <row r="185" spans="1:26" ht="13.2">
      <c r="A185" s="143" t="s">
        <v>36</v>
      </c>
      <c r="B185" s="143" t="s">
        <v>19</v>
      </c>
      <c r="C185" s="143"/>
      <c r="D185" s="253" t="s">
        <v>1680</v>
      </c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  <c r="Z185" s="143"/>
    </row>
    <row r="186" spans="1:26">
      <c r="A186" s="143" t="s">
        <v>54</v>
      </c>
      <c r="B186" s="143" t="s">
        <v>19</v>
      </c>
      <c r="C186" s="143"/>
      <c r="D186" s="147" t="s">
        <v>1068</v>
      </c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  <c r="Z186" s="143"/>
    </row>
    <row r="187" spans="1:26">
      <c r="A187" s="143" t="s">
        <v>36</v>
      </c>
      <c r="B187" s="143" t="s">
        <v>19</v>
      </c>
      <c r="C187" s="143"/>
      <c r="D187" s="147" t="s">
        <v>1099</v>
      </c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  <c r="Z187" s="143"/>
    </row>
    <row r="188" spans="1:26">
      <c r="A188" s="225" t="s">
        <v>23</v>
      </c>
      <c r="B188" s="225" t="s">
        <v>19</v>
      </c>
      <c r="C188" s="225"/>
      <c r="D188" s="228" t="s">
        <v>1078</v>
      </c>
      <c r="E188" s="225"/>
      <c r="F188" s="225"/>
      <c r="G188" s="225"/>
      <c r="H188" s="225"/>
      <c r="I188" s="225"/>
      <c r="J188" s="225"/>
      <c r="K188" s="225"/>
      <c r="L188" s="225"/>
      <c r="M188" s="225"/>
      <c r="N188" s="225"/>
      <c r="O188" s="225"/>
      <c r="P188" s="225"/>
      <c r="Q188" s="225"/>
      <c r="R188" s="225"/>
      <c r="S188" s="225"/>
      <c r="T188" s="225"/>
      <c r="U188" s="225"/>
      <c r="V188" s="225"/>
      <c r="W188" s="225"/>
      <c r="X188" s="225"/>
      <c r="Y188" s="225"/>
      <c r="Z188" s="225"/>
    </row>
    <row r="189" spans="1:26">
      <c r="A189" s="143" t="s">
        <v>18</v>
      </c>
      <c r="B189" s="143" t="s">
        <v>19</v>
      </c>
      <c r="C189" s="143"/>
      <c r="D189" s="147" t="s">
        <v>1096</v>
      </c>
      <c r="E189" s="143"/>
      <c r="F189" s="143"/>
      <c r="G189" s="143"/>
      <c r="H189" s="143"/>
      <c r="I189" s="143"/>
      <c r="J189" s="143"/>
      <c r="K189" s="143"/>
      <c r="L189" s="143"/>
      <c r="M189" s="143"/>
      <c r="N189" s="143"/>
      <c r="O189" s="143"/>
      <c r="P189" s="143"/>
      <c r="Q189" s="143"/>
      <c r="R189" s="143"/>
      <c r="S189" s="143"/>
      <c r="T189" s="143"/>
      <c r="U189" s="143"/>
      <c r="V189" s="143"/>
      <c r="W189" s="143"/>
      <c r="X189" s="143"/>
      <c r="Y189" s="143"/>
      <c r="Z189" s="143"/>
    </row>
    <row r="190" spans="1:26">
      <c r="A190" s="143" t="s">
        <v>168</v>
      </c>
      <c r="B190" s="143" t="s">
        <v>19</v>
      </c>
      <c r="C190" s="143"/>
      <c r="D190" s="147" t="s">
        <v>1168</v>
      </c>
      <c r="E190" s="143"/>
      <c r="F190" s="143"/>
      <c r="G190" s="143"/>
      <c r="H190" s="143"/>
      <c r="I190" s="143"/>
      <c r="J190" s="143"/>
      <c r="K190" s="143"/>
      <c r="L190" s="143"/>
      <c r="M190" s="143"/>
      <c r="N190" s="143"/>
      <c r="O190" s="143"/>
      <c r="P190" s="143"/>
      <c r="Q190" s="143"/>
      <c r="R190" s="143"/>
      <c r="S190" s="143"/>
      <c r="T190" s="143"/>
      <c r="U190" s="143"/>
      <c r="V190" s="143"/>
      <c r="W190" s="143"/>
      <c r="X190" s="143"/>
      <c r="Y190" s="143"/>
      <c r="Z190" s="143"/>
    </row>
    <row r="191" spans="1:26">
      <c r="A191" s="143" t="s">
        <v>18</v>
      </c>
      <c r="B191" s="143" t="s">
        <v>19</v>
      </c>
      <c r="C191" s="143"/>
      <c r="D191" s="147"/>
      <c r="E191" s="143"/>
      <c r="F191" s="143"/>
      <c r="G191" s="143"/>
      <c r="H191" s="143"/>
      <c r="I191" s="143"/>
      <c r="J191" s="143"/>
      <c r="K191" s="143"/>
      <c r="L191" s="143"/>
      <c r="M191" s="143"/>
      <c r="N191" s="143"/>
      <c r="O191" s="143"/>
      <c r="P191" s="143"/>
      <c r="Q191" s="143"/>
      <c r="R191" s="143"/>
      <c r="S191" s="143"/>
      <c r="T191" s="143"/>
      <c r="U191" s="143"/>
      <c r="V191" s="143"/>
      <c r="W191" s="143"/>
      <c r="X191" s="143"/>
      <c r="Y191" s="143"/>
      <c r="Z191" s="143"/>
    </row>
    <row r="192" spans="1:26">
      <c r="A192" s="143" t="s">
        <v>23</v>
      </c>
      <c r="B192" s="143" t="s">
        <v>19</v>
      </c>
      <c r="C192" s="143"/>
      <c r="D192" s="147" t="s">
        <v>1250</v>
      </c>
      <c r="E192" s="143"/>
      <c r="F192" s="143"/>
      <c r="G192" s="143"/>
      <c r="H192" s="143"/>
      <c r="I192" s="143"/>
      <c r="J192" s="143"/>
      <c r="K192" s="143"/>
      <c r="L192" s="143"/>
      <c r="M192" s="143"/>
      <c r="N192" s="143"/>
      <c r="O192" s="143"/>
      <c r="P192" s="143"/>
      <c r="Q192" s="143"/>
      <c r="R192" s="143"/>
      <c r="S192" s="143"/>
      <c r="T192" s="143"/>
      <c r="U192" s="143"/>
      <c r="V192" s="143"/>
      <c r="W192" s="143"/>
      <c r="X192" s="143"/>
      <c r="Y192" s="143"/>
      <c r="Z192" s="143"/>
    </row>
    <row r="193" spans="1:26">
      <c r="A193" s="143" t="s">
        <v>23</v>
      </c>
      <c r="B193" s="143" t="s">
        <v>19</v>
      </c>
      <c r="C193" s="143"/>
      <c r="D193" s="147" t="s">
        <v>1203</v>
      </c>
      <c r="E193" s="143"/>
      <c r="F193" s="143"/>
      <c r="G193" s="143"/>
      <c r="H193" s="143"/>
      <c r="I193" s="143"/>
      <c r="J193" s="143"/>
      <c r="K193" s="143"/>
      <c r="L193" s="143"/>
      <c r="M193" s="143"/>
      <c r="N193" s="143"/>
      <c r="O193" s="143"/>
      <c r="P193" s="143"/>
      <c r="Q193" s="143"/>
      <c r="R193" s="143"/>
      <c r="S193" s="143"/>
      <c r="T193" s="143"/>
      <c r="U193" s="143"/>
      <c r="V193" s="143"/>
      <c r="W193" s="143"/>
      <c r="X193" s="143"/>
      <c r="Y193" s="143"/>
      <c r="Z193" s="143"/>
    </row>
    <row r="194" spans="1:26">
      <c r="A194" s="143" t="s">
        <v>23</v>
      </c>
      <c r="B194" s="143" t="s">
        <v>19</v>
      </c>
      <c r="C194" s="143"/>
      <c r="D194" s="147" t="s">
        <v>1292</v>
      </c>
      <c r="E194" s="143"/>
      <c r="F194" s="143"/>
      <c r="G194" s="143"/>
      <c r="H194" s="143"/>
      <c r="I194" s="143"/>
      <c r="J194" s="143"/>
      <c r="K194" s="143"/>
      <c r="L194" s="143"/>
      <c r="M194" s="143"/>
      <c r="N194" s="143"/>
      <c r="O194" s="143"/>
      <c r="P194" s="143"/>
      <c r="Q194" s="143"/>
      <c r="R194" s="143"/>
      <c r="S194" s="143"/>
      <c r="T194" s="143"/>
      <c r="U194" s="143"/>
      <c r="V194" s="143"/>
      <c r="W194" s="143"/>
      <c r="X194" s="143"/>
      <c r="Y194" s="143"/>
      <c r="Z194" s="143"/>
    </row>
    <row r="195" spans="1:26">
      <c r="A195" s="143" t="s">
        <v>54</v>
      </c>
      <c r="B195" s="143" t="s">
        <v>19</v>
      </c>
      <c r="C195" s="143"/>
      <c r="D195" s="147" t="s">
        <v>1068</v>
      </c>
      <c r="E195" s="143"/>
      <c r="F195" s="143"/>
      <c r="G195" s="143"/>
      <c r="H195" s="143"/>
      <c r="I195" s="143"/>
      <c r="J195" s="143"/>
      <c r="K195" s="143"/>
      <c r="L195" s="143"/>
      <c r="M195" s="143"/>
      <c r="N195" s="143"/>
      <c r="O195" s="143"/>
      <c r="P195" s="143"/>
      <c r="Q195" s="143"/>
      <c r="R195" s="143"/>
      <c r="S195" s="143"/>
      <c r="T195" s="143"/>
      <c r="U195" s="143"/>
      <c r="V195" s="143"/>
      <c r="W195" s="143"/>
      <c r="X195" s="143"/>
      <c r="Y195" s="143"/>
      <c r="Z195" s="143"/>
    </row>
    <row r="196" spans="1:26">
      <c r="A196" s="143" t="s">
        <v>36</v>
      </c>
      <c r="B196" s="143" t="s">
        <v>19</v>
      </c>
      <c r="C196" s="143"/>
      <c r="D196" s="147" t="s">
        <v>1234</v>
      </c>
      <c r="E196" s="143"/>
      <c r="F196" s="143"/>
      <c r="G196" s="143"/>
      <c r="H196" s="143"/>
      <c r="I196" s="143"/>
      <c r="J196" s="143"/>
      <c r="K196" s="143"/>
      <c r="L196" s="143"/>
      <c r="M196" s="143"/>
      <c r="N196" s="143"/>
      <c r="O196" s="143"/>
      <c r="P196" s="143"/>
      <c r="Q196" s="143"/>
      <c r="R196" s="143"/>
      <c r="S196" s="143"/>
      <c r="T196" s="143"/>
      <c r="U196" s="143"/>
      <c r="V196" s="143"/>
      <c r="W196" s="143"/>
      <c r="X196" s="143"/>
      <c r="Y196" s="143"/>
      <c r="Z196" s="143"/>
    </row>
    <row r="197" spans="1:26" ht="13.2">
      <c r="A197" s="143" t="s">
        <v>23</v>
      </c>
      <c r="B197" s="143" t="s">
        <v>19</v>
      </c>
      <c r="C197" s="143"/>
      <c r="D197" s="253" t="s">
        <v>1402</v>
      </c>
      <c r="E197" s="143"/>
      <c r="F197" s="143"/>
      <c r="G197" s="143"/>
      <c r="H197" s="143"/>
      <c r="I197" s="143"/>
      <c r="J197" s="143"/>
      <c r="K197" s="143"/>
      <c r="L197" s="143"/>
      <c r="M197" s="143"/>
      <c r="N197" s="143"/>
      <c r="O197" s="143"/>
      <c r="P197" s="143"/>
      <c r="Q197" s="143"/>
      <c r="R197" s="143"/>
      <c r="S197" s="143"/>
      <c r="T197" s="143"/>
      <c r="U197" s="143"/>
      <c r="V197" s="143"/>
      <c r="W197" s="143"/>
      <c r="X197" s="143"/>
      <c r="Y197" s="143"/>
      <c r="Z197" s="143"/>
    </row>
    <row r="198" spans="1:26" ht="13.2">
      <c r="A198" s="143" t="s">
        <v>23</v>
      </c>
      <c r="B198" s="143" t="s">
        <v>19</v>
      </c>
      <c r="C198" s="143"/>
      <c r="D198" s="253" t="s">
        <v>1394</v>
      </c>
      <c r="E198" s="143"/>
      <c r="F198" s="143"/>
      <c r="G198" s="143"/>
      <c r="H198" s="143"/>
      <c r="I198" s="143"/>
      <c r="J198" s="143"/>
      <c r="K198" s="143"/>
      <c r="L198" s="143"/>
      <c r="M198" s="143"/>
      <c r="N198" s="143"/>
      <c r="O198" s="143"/>
      <c r="P198" s="143"/>
      <c r="Q198" s="143"/>
      <c r="R198" s="143"/>
      <c r="S198" s="143"/>
      <c r="T198" s="143"/>
      <c r="U198" s="143"/>
      <c r="V198" s="143"/>
      <c r="W198" s="143"/>
      <c r="X198" s="143"/>
      <c r="Y198" s="143"/>
      <c r="Z198" s="143"/>
    </row>
    <row r="199" spans="1:26" s="143" customFormat="1" ht="13.2">
      <c r="A199" s="143" t="s">
        <v>54</v>
      </c>
      <c r="B199" s="143" t="s">
        <v>19</v>
      </c>
      <c r="D199" s="281" t="s">
        <v>1344</v>
      </c>
    </row>
    <row r="200" spans="1:26" s="143" customFormat="1" ht="13.2">
      <c r="A200" s="143" t="s">
        <v>23</v>
      </c>
      <c r="B200" s="143" t="s">
        <v>19</v>
      </c>
      <c r="D200" s="253" t="s">
        <v>1342</v>
      </c>
    </row>
    <row r="201" spans="1:26" s="143" customFormat="1" ht="13.2">
      <c r="A201" s="143" t="s">
        <v>23</v>
      </c>
      <c r="B201" s="143" t="s">
        <v>19</v>
      </c>
      <c r="D201" s="253" t="s">
        <v>1409</v>
      </c>
    </row>
    <row r="202" spans="1:26" s="143" customFormat="1" ht="13.2">
      <c r="A202" s="143" t="s">
        <v>54</v>
      </c>
      <c r="B202" s="143" t="s">
        <v>19</v>
      </c>
      <c r="D202" s="253" t="s">
        <v>1068</v>
      </c>
    </row>
    <row r="203" spans="1:26" s="143" customFormat="1" ht="13.2">
      <c r="A203" s="143" t="s">
        <v>54</v>
      </c>
      <c r="B203" s="143" t="s">
        <v>19</v>
      </c>
      <c r="D203" s="253" t="s">
        <v>1360</v>
      </c>
    </row>
    <row r="204" spans="1:26" s="143" customFormat="1" ht="13.2">
      <c r="A204" s="143" t="s">
        <v>54</v>
      </c>
      <c r="B204" s="143" t="s">
        <v>19</v>
      </c>
      <c r="D204" s="281" t="s">
        <v>1344</v>
      </c>
    </row>
    <row r="205" spans="1:26" s="143" customFormat="1" ht="13.2">
      <c r="A205" s="282" t="s">
        <v>23</v>
      </c>
      <c r="B205" s="282" t="s">
        <v>19</v>
      </c>
      <c r="C205" s="282"/>
      <c r="D205" s="285" t="s">
        <v>1488</v>
      </c>
      <c r="E205" s="282"/>
      <c r="F205" s="282"/>
      <c r="G205" s="282"/>
      <c r="H205" s="282"/>
      <c r="I205" s="282"/>
      <c r="J205" s="282"/>
      <c r="K205" s="282"/>
      <c r="L205" s="282"/>
      <c r="M205" s="282"/>
      <c r="N205" s="282"/>
      <c r="O205" s="282"/>
      <c r="P205" s="282"/>
      <c r="Q205" s="282"/>
      <c r="R205" s="282"/>
      <c r="S205" s="282"/>
      <c r="T205" s="282"/>
      <c r="U205" s="282"/>
      <c r="V205" s="282"/>
      <c r="W205" s="282"/>
      <c r="X205" s="282"/>
      <c r="Y205" s="282"/>
      <c r="Z205" s="282"/>
    </row>
    <row r="206" spans="1:26" s="143" customFormat="1" ht="13.2">
      <c r="A206" s="143" t="s">
        <v>983</v>
      </c>
      <c r="B206" s="143" t="s">
        <v>19</v>
      </c>
      <c r="D206" s="253" t="s">
        <v>1541</v>
      </c>
    </row>
    <row r="207" spans="1:26" s="143" customFormat="1" ht="13.2">
      <c r="A207" s="143" t="s">
        <v>54</v>
      </c>
      <c r="B207" s="143" t="s">
        <v>19</v>
      </c>
      <c r="D207" s="253" t="s">
        <v>1068</v>
      </c>
    </row>
    <row r="208" spans="1:26" s="143" customFormat="1" ht="13.2">
      <c r="A208" s="291" t="s">
        <v>23</v>
      </c>
      <c r="B208" s="291" t="s">
        <v>19</v>
      </c>
      <c r="C208" s="291"/>
      <c r="D208" s="299" t="s">
        <v>1532</v>
      </c>
      <c r="E208" s="291"/>
      <c r="F208" s="291"/>
      <c r="G208" s="291"/>
      <c r="H208" s="291"/>
      <c r="I208" s="291"/>
      <c r="J208" s="291"/>
      <c r="K208" s="291"/>
      <c r="L208" s="291"/>
      <c r="M208" s="291"/>
      <c r="N208" s="291"/>
      <c r="O208" s="291"/>
      <c r="P208" s="291"/>
      <c r="Q208" s="291"/>
      <c r="R208" s="291"/>
      <c r="S208" s="291"/>
      <c r="T208" s="291"/>
      <c r="U208" s="291"/>
      <c r="V208" s="291"/>
      <c r="W208" s="291"/>
      <c r="X208" s="291"/>
      <c r="Y208" s="291"/>
      <c r="Z208" s="291"/>
    </row>
    <row r="209" spans="1:26" s="143" customFormat="1" ht="13.2">
      <c r="A209" s="291" t="s">
        <v>23</v>
      </c>
      <c r="B209" s="291" t="s">
        <v>19</v>
      </c>
      <c r="C209" s="291"/>
      <c r="D209" s="294" t="s">
        <v>1572</v>
      </c>
      <c r="E209" s="291"/>
      <c r="F209" s="291"/>
      <c r="G209" s="291"/>
      <c r="H209" s="291"/>
      <c r="I209" s="291"/>
      <c r="J209" s="291"/>
      <c r="K209" s="291"/>
      <c r="L209" s="291"/>
      <c r="M209" s="291"/>
      <c r="N209" s="291"/>
      <c r="O209" s="291"/>
      <c r="P209" s="291"/>
      <c r="Q209" s="291"/>
      <c r="R209" s="291"/>
      <c r="S209" s="291"/>
      <c r="T209" s="291"/>
      <c r="U209" s="291"/>
      <c r="V209" s="291"/>
      <c r="W209" s="291"/>
      <c r="X209" s="291"/>
      <c r="Y209" s="291"/>
      <c r="Z209" s="291"/>
    </row>
    <row r="210" spans="1:26" s="143" customFormat="1">
      <c r="A210" s="291" t="s">
        <v>23</v>
      </c>
      <c r="B210" s="291" t="s">
        <v>19</v>
      </c>
      <c r="C210" s="291"/>
      <c r="D210" s="324" t="s">
        <v>492</v>
      </c>
      <c r="E210" s="291"/>
      <c r="F210" s="291"/>
      <c r="G210" s="291"/>
      <c r="H210" s="291"/>
      <c r="I210" s="291"/>
      <c r="J210" s="291"/>
      <c r="K210" s="291"/>
      <c r="L210" s="291"/>
      <c r="M210" s="291"/>
      <c r="N210" s="291"/>
      <c r="O210" s="291"/>
      <c r="P210" s="291"/>
      <c r="Q210" s="291"/>
      <c r="R210" s="291"/>
      <c r="S210" s="291"/>
      <c r="T210" s="291"/>
      <c r="U210" s="291"/>
      <c r="V210" s="291"/>
      <c r="W210" s="291"/>
      <c r="X210" s="291"/>
      <c r="Y210" s="291"/>
      <c r="Z210" s="291"/>
    </row>
    <row r="211" spans="1:26" s="143" customFormat="1" ht="13.2">
      <c r="A211" s="325" t="s">
        <v>23</v>
      </c>
      <c r="B211" s="325" t="s">
        <v>19</v>
      </c>
      <c r="C211" s="325"/>
      <c r="D211" s="328" t="s">
        <v>1629</v>
      </c>
      <c r="E211" s="325"/>
      <c r="F211" s="325"/>
      <c r="G211" s="325"/>
      <c r="H211" s="325"/>
      <c r="I211" s="325"/>
      <c r="J211" s="325"/>
      <c r="K211" s="325"/>
      <c r="L211" s="325"/>
      <c r="M211" s="325"/>
      <c r="N211" s="325"/>
      <c r="O211" s="325"/>
      <c r="P211" s="325"/>
      <c r="Q211" s="325"/>
      <c r="R211" s="325"/>
      <c r="S211" s="325"/>
      <c r="T211" s="325"/>
      <c r="U211" s="325"/>
      <c r="V211" s="325"/>
      <c r="W211" s="325"/>
      <c r="X211" s="325"/>
      <c r="Y211" s="325"/>
      <c r="Z211" s="325"/>
    </row>
    <row r="212" spans="1:26" s="143" customFormat="1" ht="13.2">
      <c r="A212" s="291" t="s">
        <v>23</v>
      </c>
      <c r="B212" s="291" t="s">
        <v>19</v>
      </c>
      <c r="C212" s="291"/>
      <c r="D212" s="294" t="s">
        <v>1684</v>
      </c>
      <c r="E212" s="291"/>
      <c r="F212" s="291"/>
      <c r="G212" s="291"/>
      <c r="H212" s="291"/>
      <c r="I212" s="291"/>
      <c r="J212" s="291"/>
      <c r="K212" s="291"/>
      <c r="L212" s="291"/>
      <c r="M212" s="291"/>
      <c r="N212" s="291"/>
      <c r="O212" s="291"/>
      <c r="P212" s="291"/>
      <c r="Q212" s="291"/>
      <c r="R212" s="291"/>
      <c r="S212" s="291"/>
      <c r="T212" s="291"/>
      <c r="U212" s="291"/>
      <c r="V212" s="291"/>
      <c r="W212" s="291"/>
      <c r="X212" s="291"/>
      <c r="Y212" s="291"/>
      <c r="Z212" s="291"/>
    </row>
    <row r="213" spans="1:26" s="143" customFormat="1" ht="13.2">
      <c r="A213" s="291" t="s">
        <v>54</v>
      </c>
      <c r="B213" s="291" t="s">
        <v>19</v>
      </c>
      <c r="C213" s="291"/>
      <c r="D213" s="299" t="s">
        <v>1068</v>
      </c>
      <c r="E213" s="291"/>
      <c r="F213" s="291"/>
      <c r="G213" s="291"/>
      <c r="H213" s="291"/>
      <c r="I213" s="291"/>
      <c r="J213" s="291"/>
      <c r="K213" s="291"/>
      <c r="L213" s="291"/>
      <c r="M213" s="291"/>
      <c r="N213" s="291"/>
      <c r="O213" s="291"/>
      <c r="P213" s="291"/>
      <c r="Q213" s="291"/>
      <c r="R213" s="291"/>
      <c r="S213" s="291"/>
      <c r="T213" s="291"/>
      <c r="U213" s="291"/>
      <c r="V213" s="291"/>
      <c r="W213" s="291"/>
      <c r="X213" s="291"/>
      <c r="Y213" s="291"/>
      <c r="Z213" s="291"/>
    </row>
    <row r="214" spans="1:26" s="143" customFormat="1">
      <c r="A214" s="291" t="s">
        <v>54</v>
      </c>
      <c r="B214" s="291" t="s">
        <v>19</v>
      </c>
      <c r="C214" s="291"/>
      <c r="D214" s="324" t="s">
        <v>352</v>
      </c>
      <c r="E214" s="291"/>
      <c r="F214" s="291"/>
      <c r="G214" s="291"/>
      <c r="H214" s="291"/>
      <c r="I214" s="291"/>
      <c r="J214" s="291"/>
      <c r="K214" s="291"/>
      <c r="L214" s="291"/>
      <c r="M214" s="291"/>
      <c r="N214" s="291"/>
      <c r="O214" s="291"/>
      <c r="P214" s="291"/>
      <c r="Q214" s="291"/>
      <c r="R214" s="291"/>
      <c r="S214" s="291"/>
      <c r="T214" s="291"/>
      <c r="U214" s="291"/>
      <c r="V214" s="291"/>
      <c r="W214" s="291"/>
      <c r="X214" s="291"/>
      <c r="Y214" s="291"/>
      <c r="Z214" s="291"/>
    </row>
    <row r="215" spans="1:26" s="271" customFormat="1" ht="13.2">
      <c r="A215" s="291" t="s">
        <v>23</v>
      </c>
      <c r="B215" s="291" t="s">
        <v>19</v>
      </c>
      <c r="C215" s="291"/>
      <c r="D215" s="294" t="s">
        <v>1727</v>
      </c>
      <c r="E215" s="291"/>
      <c r="F215" s="291"/>
      <c r="G215" s="291"/>
      <c r="H215" s="291"/>
      <c r="I215" s="291"/>
      <c r="J215" s="291"/>
      <c r="K215" s="291"/>
      <c r="L215" s="291"/>
      <c r="M215" s="291"/>
      <c r="N215" s="291"/>
      <c r="O215" s="291"/>
      <c r="P215" s="291"/>
      <c r="Q215" s="291"/>
      <c r="R215" s="291"/>
      <c r="S215" s="291"/>
      <c r="T215" s="291"/>
      <c r="U215" s="291"/>
      <c r="V215" s="291"/>
      <c r="W215" s="291"/>
      <c r="X215" s="291"/>
      <c r="Y215" s="291"/>
      <c r="Z215" s="291"/>
    </row>
    <row r="216" spans="1:26" s="143" customFormat="1" ht="13.2">
      <c r="A216" s="372" t="s">
        <v>23</v>
      </c>
      <c r="B216" s="372" t="s">
        <v>19</v>
      </c>
      <c r="C216" s="372"/>
      <c r="D216" s="375" t="s">
        <v>1394</v>
      </c>
      <c r="E216" s="372"/>
      <c r="F216" s="372"/>
      <c r="G216" s="372"/>
      <c r="H216" s="372"/>
      <c r="I216" s="372"/>
      <c r="J216" s="372"/>
      <c r="K216" s="372"/>
      <c r="L216" s="372"/>
      <c r="M216" s="372"/>
      <c r="N216" s="372"/>
      <c r="O216" s="372"/>
      <c r="P216" s="372"/>
      <c r="Q216" s="372"/>
      <c r="R216" s="372"/>
      <c r="S216" s="372"/>
      <c r="T216" s="372"/>
      <c r="U216" s="372"/>
      <c r="V216" s="372"/>
      <c r="W216" s="372"/>
      <c r="X216" s="372"/>
      <c r="Y216" s="372"/>
      <c r="Z216" s="372"/>
    </row>
    <row r="217" spans="1:26">
      <c r="A217" s="355" t="s">
        <v>54</v>
      </c>
      <c r="B217" s="355" t="s">
        <v>19</v>
      </c>
      <c r="C217" s="355"/>
      <c r="D217" s="365" t="s">
        <v>1906</v>
      </c>
      <c r="E217" s="355"/>
      <c r="F217" s="355"/>
      <c r="G217" s="355"/>
      <c r="H217" s="355"/>
      <c r="I217" s="355"/>
      <c r="J217" s="355"/>
      <c r="K217" s="355"/>
      <c r="L217" s="355"/>
      <c r="M217" s="355"/>
      <c r="N217" s="355"/>
      <c r="O217" s="355"/>
      <c r="P217" s="355"/>
      <c r="Q217" s="355"/>
      <c r="R217" s="355"/>
      <c r="S217" s="355"/>
      <c r="T217" s="355"/>
      <c r="U217" s="355"/>
      <c r="V217" s="355"/>
      <c r="W217" s="355"/>
      <c r="X217" s="355"/>
      <c r="Y217" s="355"/>
      <c r="Z217" s="355"/>
    </row>
    <row r="218" spans="1:26">
      <c r="A218" s="355" t="s">
        <v>23</v>
      </c>
      <c r="B218" s="355" t="s">
        <v>19</v>
      </c>
      <c r="C218" s="355"/>
      <c r="D218" s="365" t="s">
        <v>492</v>
      </c>
      <c r="E218" s="355"/>
      <c r="F218" s="355"/>
      <c r="G218" s="355"/>
      <c r="H218" s="355"/>
      <c r="I218" s="355"/>
      <c r="J218" s="355"/>
      <c r="K218" s="355"/>
      <c r="L218" s="355"/>
      <c r="M218" s="355"/>
      <c r="N218" s="355"/>
      <c r="O218" s="355"/>
      <c r="P218" s="355"/>
      <c r="Q218" s="355"/>
      <c r="R218" s="355"/>
      <c r="S218" s="355"/>
      <c r="T218" s="355"/>
      <c r="U218" s="355"/>
      <c r="V218" s="355"/>
      <c r="W218" s="355"/>
      <c r="X218" s="355"/>
      <c r="Y218" s="355"/>
      <c r="Z218" s="355"/>
    </row>
    <row r="219" spans="1:26">
      <c r="A219" s="355" t="s">
        <v>54</v>
      </c>
      <c r="B219" s="355" t="s">
        <v>19</v>
      </c>
      <c r="C219" s="355"/>
      <c r="D219" s="362" t="s">
        <v>1068</v>
      </c>
      <c r="E219" s="355"/>
      <c r="F219" s="355"/>
      <c r="G219" s="355"/>
      <c r="H219" s="355"/>
      <c r="I219" s="355"/>
      <c r="J219" s="355"/>
      <c r="K219" s="355"/>
      <c r="L219" s="355"/>
      <c r="M219" s="355"/>
      <c r="N219" s="355"/>
      <c r="O219" s="355"/>
      <c r="P219" s="355"/>
      <c r="Q219" s="355"/>
      <c r="R219" s="355"/>
      <c r="S219" s="355"/>
      <c r="T219" s="355"/>
      <c r="U219" s="355"/>
      <c r="V219" s="355"/>
      <c r="W219" s="355"/>
      <c r="X219" s="355"/>
      <c r="Y219" s="355"/>
      <c r="Z219" s="355"/>
    </row>
    <row r="220" spans="1:26">
      <c r="A220" s="355" t="s">
        <v>168</v>
      </c>
      <c r="B220" s="355" t="s">
        <v>19</v>
      </c>
      <c r="C220" s="355"/>
      <c r="D220" s="365" t="s">
        <v>1890</v>
      </c>
      <c r="E220" s="355"/>
      <c r="F220" s="355"/>
      <c r="G220" s="355"/>
      <c r="H220" s="355"/>
      <c r="I220" s="355"/>
      <c r="J220" s="355"/>
      <c r="K220" s="355"/>
      <c r="L220" s="355"/>
      <c r="M220" s="355"/>
      <c r="N220" s="355"/>
      <c r="O220" s="355"/>
      <c r="P220" s="355"/>
      <c r="Q220" s="355"/>
      <c r="R220" s="355"/>
      <c r="S220" s="355"/>
      <c r="T220" s="355"/>
      <c r="U220" s="355"/>
      <c r="V220" s="355"/>
      <c r="W220" s="355"/>
      <c r="X220" s="355"/>
      <c r="Y220" s="355"/>
      <c r="Z220" s="355"/>
    </row>
    <row r="221" spans="1:26">
      <c r="A221" s="392" t="s">
        <v>168</v>
      </c>
      <c r="B221" s="392" t="s">
        <v>19</v>
      </c>
      <c r="C221" s="392"/>
      <c r="D221" s="397" t="s">
        <v>1916</v>
      </c>
      <c r="E221" s="392"/>
      <c r="F221" s="392"/>
      <c r="G221" s="392"/>
      <c r="H221" s="392"/>
      <c r="I221" s="392"/>
      <c r="J221" s="392"/>
      <c r="K221" s="392"/>
      <c r="L221" s="392"/>
      <c r="M221" s="392"/>
      <c r="N221" s="392"/>
      <c r="O221" s="392"/>
      <c r="P221" s="392"/>
      <c r="Q221" s="392"/>
      <c r="R221" s="392"/>
      <c r="S221" s="392"/>
      <c r="T221" s="392"/>
      <c r="U221" s="392"/>
      <c r="V221" s="392"/>
      <c r="W221" s="392"/>
      <c r="X221" s="392"/>
      <c r="Y221" s="392"/>
      <c r="Z221" s="392"/>
    </row>
    <row r="222" spans="1:26">
      <c r="A222" s="355" t="s">
        <v>23</v>
      </c>
      <c r="B222" s="355" t="s">
        <v>19</v>
      </c>
      <c r="C222" s="355"/>
      <c r="D222" s="365" t="s">
        <v>492</v>
      </c>
      <c r="E222" s="355"/>
      <c r="F222" s="355"/>
      <c r="G222" s="355"/>
      <c r="H222" s="355"/>
      <c r="I222" s="355"/>
      <c r="J222" s="355"/>
      <c r="K222" s="355"/>
      <c r="L222" s="355"/>
      <c r="M222" s="355"/>
      <c r="N222" s="355"/>
      <c r="O222" s="355"/>
      <c r="P222" s="355"/>
      <c r="Q222" s="355"/>
      <c r="R222" s="355"/>
      <c r="S222" s="355"/>
      <c r="T222" s="355"/>
      <c r="U222" s="355"/>
      <c r="V222" s="355"/>
      <c r="W222" s="355"/>
      <c r="X222" s="355"/>
      <c r="Y222" s="355"/>
      <c r="Z222" s="355"/>
    </row>
    <row r="223" spans="1:26">
      <c r="A223" s="355" t="s">
        <v>54</v>
      </c>
      <c r="B223" s="355" t="s">
        <v>19</v>
      </c>
      <c r="C223" s="355"/>
      <c r="D223" s="362" t="s">
        <v>1068</v>
      </c>
      <c r="E223" s="355"/>
      <c r="F223" s="355"/>
      <c r="G223" s="355"/>
      <c r="H223" s="355"/>
      <c r="I223" s="355"/>
      <c r="J223" s="355"/>
      <c r="K223" s="355"/>
      <c r="L223" s="355"/>
      <c r="M223" s="355"/>
      <c r="N223" s="355"/>
      <c r="O223" s="355"/>
      <c r="P223" s="355"/>
      <c r="Q223" s="355"/>
      <c r="R223" s="355"/>
      <c r="S223" s="355"/>
      <c r="T223" s="355"/>
      <c r="U223" s="355"/>
      <c r="V223" s="355"/>
      <c r="W223" s="355"/>
      <c r="X223" s="355"/>
      <c r="Y223" s="355"/>
      <c r="Z223" s="355"/>
    </row>
    <row r="224" spans="1:26">
      <c r="A224" s="139" t="s">
        <v>23</v>
      </c>
      <c r="B224" s="139" t="s">
        <v>19</v>
      </c>
      <c r="D224" s="156" t="s">
        <v>261</v>
      </c>
    </row>
    <row r="225" spans="1:26">
      <c r="A225" s="139" t="s">
        <v>23</v>
      </c>
      <c r="B225" s="139" t="s">
        <v>19</v>
      </c>
      <c r="D225" s="156" t="s">
        <v>267</v>
      </c>
    </row>
    <row r="226" spans="1:26">
      <c r="A226" s="139" t="s">
        <v>36</v>
      </c>
      <c r="B226" s="139" t="s">
        <v>19</v>
      </c>
      <c r="D226" s="156" t="s">
        <v>191</v>
      </c>
    </row>
    <row r="227" spans="1:26">
      <c r="A227" s="139" t="s">
        <v>23</v>
      </c>
      <c r="B227" s="139" t="s">
        <v>19</v>
      </c>
      <c r="D227" s="156" t="s">
        <v>282</v>
      </c>
    </row>
    <row r="228" spans="1:26">
      <c r="A228" s="139" t="s">
        <v>23</v>
      </c>
      <c r="B228" s="139" t="s">
        <v>19</v>
      </c>
      <c r="D228" s="156" t="s">
        <v>275</v>
      </c>
    </row>
    <row r="229" spans="1:26">
      <c r="A229" s="139" t="s">
        <v>23</v>
      </c>
      <c r="B229" s="139" t="s">
        <v>19</v>
      </c>
      <c r="D229" s="156"/>
    </row>
    <row r="230" spans="1:26">
      <c r="B230" s="139" t="s">
        <v>19</v>
      </c>
      <c r="D230" s="156" t="s">
        <v>359</v>
      </c>
    </row>
    <row r="231" spans="1:26">
      <c r="A231" s="139" t="s">
        <v>54</v>
      </c>
      <c r="B231" s="139" t="s">
        <v>19</v>
      </c>
      <c r="D231" s="156" t="s">
        <v>352</v>
      </c>
    </row>
    <row r="232" spans="1:26">
      <c r="B232" s="139" t="s">
        <v>19</v>
      </c>
      <c r="D232" s="156"/>
    </row>
    <row r="233" spans="1:26">
      <c r="A233" s="139" t="s">
        <v>23</v>
      </c>
      <c r="B233" s="139" t="s">
        <v>19</v>
      </c>
      <c r="D233" s="156" t="s">
        <v>342</v>
      </c>
    </row>
    <row r="234" spans="1:26">
      <c r="A234" s="139" t="s">
        <v>54</v>
      </c>
      <c r="B234" s="139" t="s">
        <v>19</v>
      </c>
      <c r="D234" s="156" t="s">
        <v>142</v>
      </c>
    </row>
    <row r="235" spans="1:26">
      <c r="A235" s="139" t="s">
        <v>23</v>
      </c>
      <c r="B235" s="139" t="s">
        <v>19</v>
      </c>
      <c r="D235" s="156" t="s">
        <v>278</v>
      </c>
    </row>
    <row r="236" spans="1:26">
      <c r="A236" s="139" t="s">
        <v>168</v>
      </c>
      <c r="B236" s="139" t="s">
        <v>19</v>
      </c>
      <c r="D236" s="156" t="s">
        <v>354</v>
      </c>
    </row>
    <row r="237" spans="1:26">
      <c r="A237" s="139" t="s">
        <v>23</v>
      </c>
      <c r="B237" s="139" t="s">
        <v>19</v>
      </c>
      <c r="D237" s="156" t="s">
        <v>302</v>
      </c>
    </row>
    <row r="238" spans="1:26">
      <c r="A238" s="139" t="s">
        <v>23</v>
      </c>
      <c r="B238" s="139" t="s">
        <v>19</v>
      </c>
      <c r="D238" s="156" t="s">
        <v>250</v>
      </c>
    </row>
    <row r="239" spans="1:26" ht="21">
      <c r="A239" s="143" t="s">
        <v>365</v>
      </c>
      <c r="B239" s="143" t="s">
        <v>180</v>
      </c>
      <c r="C239" s="146"/>
      <c r="D239" s="147" t="s">
        <v>366</v>
      </c>
      <c r="E239" s="143"/>
      <c r="F239" s="143"/>
      <c r="G239" s="143"/>
      <c r="H239" s="143"/>
      <c r="I239" s="143"/>
      <c r="J239" s="143"/>
      <c r="K239" s="143"/>
      <c r="L239" s="143"/>
      <c r="M239" s="143"/>
      <c r="N239" s="143"/>
      <c r="O239" s="143"/>
      <c r="P239" s="143"/>
      <c r="Q239" s="143"/>
      <c r="R239" s="143"/>
      <c r="S239" s="143"/>
      <c r="T239" s="143"/>
      <c r="U239" s="143"/>
      <c r="V239" s="143"/>
      <c r="W239" s="143"/>
      <c r="X239" s="143"/>
      <c r="Y239" s="143"/>
      <c r="Z239" s="143"/>
    </row>
    <row r="240" spans="1:26">
      <c r="A240" s="143" t="s">
        <v>168</v>
      </c>
      <c r="B240" s="143" t="s">
        <v>180</v>
      </c>
      <c r="C240" s="143"/>
      <c r="D240" s="147" t="s">
        <v>776</v>
      </c>
      <c r="E240" s="143"/>
      <c r="F240" s="143"/>
      <c r="G240" s="143"/>
      <c r="H240" s="143"/>
      <c r="I240" s="143"/>
      <c r="J240" s="143"/>
      <c r="K240" s="143"/>
      <c r="L240" s="143"/>
      <c r="M240" s="143"/>
      <c r="N240" s="143"/>
      <c r="O240" s="143"/>
      <c r="P240" s="143"/>
      <c r="Q240" s="143"/>
      <c r="R240" s="143"/>
      <c r="S240" s="143"/>
      <c r="T240" s="143"/>
      <c r="U240" s="143"/>
      <c r="V240" s="143"/>
      <c r="W240" s="143"/>
      <c r="X240" s="143"/>
      <c r="Y240" s="143"/>
      <c r="Z240" s="143"/>
    </row>
    <row r="241" spans="1:26">
      <c r="A241" s="143" t="s">
        <v>1223</v>
      </c>
      <c r="B241" s="143" t="s">
        <v>180</v>
      </c>
      <c r="C241" s="143"/>
      <c r="D241" s="147" t="s">
        <v>1226</v>
      </c>
      <c r="E241" s="143"/>
      <c r="F241" s="143"/>
      <c r="G241" s="143"/>
      <c r="H241" s="143"/>
      <c r="I241" s="143"/>
      <c r="J241" s="143"/>
      <c r="K241" s="143"/>
      <c r="L241" s="143"/>
      <c r="M241" s="143"/>
      <c r="N241" s="143"/>
      <c r="O241" s="143"/>
      <c r="P241" s="143"/>
      <c r="Q241" s="143"/>
      <c r="R241" s="143"/>
      <c r="S241" s="143"/>
      <c r="T241" s="143"/>
      <c r="U241" s="143"/>
      <c r="V241" s="143"/>
      <c r="W241" s="143"/>
      <c r="X241" s="143"/>
      <c r="Y241" s="143"/>
      <c r="Z241" s="143"/>
    </row>
    <row r="242" spans="1:26" ht="13.2">
      <c r="A242" s="143" t="s">
        <v>884</v>
      </c>
      <c r="B242" s="143" t="s">
        <v>180</v>
      </c>
      <c r="C242" s="143"/>
      <c r="D242" s="253" t="s">
        <v>1389</v>
      </c>
      <c r="E242" s="143"/>
      <c r="F242" s="143"/>
      <c r="G242" s="143"/>
      <c r="H242" s="143"/>
      <c r="I242" s="143"/>
      <c r="J242" s="143"/>
      <c r="K242" s="143"/>
      <c r="L242" s="143"/>
      <c r="M242" s="143"/>
      <c r="N242" s="143"/>
      <c r="O242" s="143"/>
      <c r="P242" s="143"/>
      <c r="Q242" s="143"/>
      <c r="R242" s="143"/>
      <c r="S242" s="143"/>
      <c r="T242" s="143"/>
      <c r="U242" s="143"/>
      <c r="V242" s="143"/>
      <c r="W242" s="143"/>
      <c r="X242" s="143"/>
      <c r="Y242" s="143"/>
      <c r="Z242" s="143"/>
    </row>
    <row r="243" spans="1:26" ht="13.2">
      <c r="A243" s="143" t="s">
        <v>1446</v>
      </c>
      <c r="B243" s="143" t="s">
        <v>180</v>
      </c>
      <c r="C243" s="143"/>
      <c r="D243" s="281" t="s">
        <v>1448</v>
      </c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  <c r="Z243" s="143"/>
    </row>
    <row r="244" spans="1:26" ht="13.2">
      <c r="A244" s="143" t="s">
        <v>884</v>
      </c>
      <c r="B244" s="143" t="s">
        <v>180</v>
      </c>
      <c r="C244" s="143"/>
      <c r="D244" s="253" t="s">
        <v>1431</v>
      </c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  <c r="Z244" s="143"/>
    </row>
    <row r="245" spans="1:26" ht="13.2">
      <c r="A245" s="291" t="s">
        <v>1561</v>
      </c>
      <c r="B245" s="291" t="s">
        <v>180</v>
      </c>
      <c r="C245" s="291"/>
      <c r="D245" s="294" t="s">
        <v>1562</v>
      </c>
      <c r="E245" s="291"/>
      <c r="F245" s="291"/>
      <c r="G245" s="291"/>
      <c r="H245" s="291"/>
      <c r="I245" s="291"/>
      <c r="J245" s="291"/>
      <c r="K245" s="291"/>
      <c r="L245" s="291"/>
      <c r="M245" s="291"/>
      <c r="N245" s="291"/>
      <c r="O245" s="291"/>
      <c r="P245" s="291"/>
      <c r="Q245" s="291"/>
      <c r="R245" s="291"/>
      <c r="S245" s="291"/>
      <c r="T245" s="291"/>
      <c r="U245" s="291"/>
      <c r="V245" s="291"/>
      <c r="W245" s="291"/>
      <c r="X245" s="291"/>
      <c r="Y245" s="291"/>
      <c r="Z245" s="291"/>
    </row>
    <row r="246" spans="1:26" ht="13.2">
      <c r="A246" s="291" t="s">
        <v>168</v>
      </c>
      <c r="B246" s="291" t="s">
        <v>180</v>
      </c>
      <c r="C246" s="291"/>
      <c r="D246" s="294" t="s">
        <v>1577</v>
      </c>
      <c r="E246" s="291"/>
      <c r="F246" s="291"/>
      <c r="G246" s="291"/>
      <c r="H246" s="291"/>
      <c r="I246" s="291"/>
      <c r="J246" s="291"/>
      <c r="K246" s="291"/>
      <c r="L246" s="291"/>
      <c r="M246" s="291"/>
      <c r="N246" s="291"/>
      <c r="O246" s="291"/>
      <c r="P246" s="291"/>
      <c r="Q246" s="291"/>
      <c r="R246" s="291"/>
      <c r="S246" s="291"/>
      <c r="T246" s="291"/>
      <c r="U246" s="291"/>
      <c r="V246" s="291"/>
      <c r="W246" s="291"/>
      <c r="X246" s="291"/>
      <c r="Y246" s="291"/>
      <c r="Z246" s="291"/>
    </row>
    <row r="247" spans="1:26" ht="13.8" thickBot="1">
      <c r="A247" s="424" t="s">
        <v>1561</v>
      </c>
      <c r="B247" s="424" t="s">
        <v>180</v>
      </c>
      <c r="C247" s="424"/>
      <c r="D247" s="427" t="s">
        <v>1562</v>
      </c>
      <c r="E247" s="372"/>
      <c r="F247" s="372"/>
      <c r="G247" s="372"/>
      <c r="H247" s="372"/>
      <c r="I247" s="372"/>
      <c r="J247" s="372"/>
      <c r="K247" s="372"/>
      <c r="L247" s="372"/>
      <c r="M247" s="372"/>
      <c r="N247" s="372"/>
      <c r="O247" s="372"/>
      <c r="P247" s="372"/>
      <c r="Q247" s="372"/>
      <c r="R247" s="372"/>
      <c r="S247" s="372"/>
      <c r="T247" s="372"/>
      <c r="U247" s="372"/>
      <c r="V247" s="372"/>
      <c r="W247" s="372"/>
      <c r="X247" s="372"/>
      <c r="Y247" s="372"/>
      <c r="Z247" s="372"/>
    </row>
    <row r="248" spans="1:26">
      <c r="A248" s="139" t="s">
        <v>212</v>
      </c>
      <c r="B248" s="139" t="s">
        <v>180</v>
      </c>
      <c r="D248" s="156" t="s">
        <v>285</v>
      </c>
    </row>
    <row r="249" spans="1:26">
      <c r="A249" s="139" t="s">
        <v>212</v>
      </c>
      <c r="B249" s="139" t="s">
        <v>180</v>
      </c>
      <c r="D249" s="156" t="s">
        <v>262</v>
      </c>
    </row>
    <row r="250" spans="1:26">
      <c r="A250" s="136"/>
      <c r="B250" s="136"/>
      <c r="C250" s="136"/>
      <c r="D250" s="136"/>
    </row>
    <row r="251" spans="1:26" s="143" customFormat="1">
      <c r="A251" s="136"/>
      <c r="B251" s="136"/>
      <c r="C251" s="136"/>
      <c r="D251" s="136"/>
      <c r="E251" s="139"/>
      <c r="F251" s="139"/>
      <c r="G251" s="139"/>
      <c r="H251" s="139"/>
      <c r="I251" s="139"/>
      <c r="J251" s="139"/>
      <c r="K251" s="139"/>
      <c r="L251" s="139"/>
      <c r="M251" s="139"/>
      <c r="N251" s="139"/>
      <c r="O251" s="139"/>
      <c r="P251" s="139"/>
      <c r="Q251" s="139"/>
      <c r="R251" s="139"/>
      <c r="S251" s="139"/>
      <c r="T251" s="139"/>
      <c r="U251" s="139"/>
      <c r="V251" s="139"/>
      <c r="W251" s="139"/>
      <c r="X251" s="139"/>
      <c r="Y251" s="139"/>
      <c r="Z251" s="139"/>
    </row>
    <row r="252" spans="1:26" s="143" customFormat="1">
      <c r="A252" s="139"/>
      <c r="B252" s="139"/>
      <c r="C252" s="139"/>
      <c r="D252" s="156"/>
      <c r="E252" s="139"/>
      <c r="F252" s="139"/>
      <c r="G252" s="139"/>
      <c r="H252" s="139"/>
      <c r="I252" s="139"/>
      <c r="J252" s="139"/>
      <c r="K252" s="139"/>
      <c r="L252" s="139"/>
      <c r="M252" s="139"/>
      <c r="N252" s="139"/>
      <c r="O252" s="139"/>
      <c r="P252" s="139"/>
      <c r="Q252" s="139"/>
      <c r="R252" s="139"/>
      <c r="S252" s="139"/>
      <c r="T252" s="139"/>
      <c r="U252" s="139"/>
      <c r="V252" s="139"/>
      <c r="W252" s="139"/>
      <c r="X252" s="139"/>
      <c r="Y252" s="139"/>
      <c r="Z252" s="139"/>
    </row>
    <row r="253" spans="1:26" s="143" customFormat="1">
      <c r="A253" s="139"/>
      <c r="B253" s="139"/>
      <c r="C253" s="139"/>
      <c r="D253" s="156"/>
      <c r="E253" s="139"/>
      <c r="F253" s="139"/>
      <c r="G253" s="139"/>
      <c r="H253" s="139"/>
      <c r="I253" s="139"/>
      <c r="J253" s="139"/>
      <c r="K253" s="139"/>
      <c r="L253" s="139"/>
      <c r="M253" s="139"/>
      <c r="N253" s="139"/>
      <c r="O253" s="139"/>
      <c r="P253" s="139"/>
      <c r="Q253" s="139"/>
      <c r="R253" s="139"/>
      <c r="S253" s="139"/>
      <c r="T253" s="139"/>
      <c r="U253" s="139"/>
      <c r="V253" s="139"/>
      <c r="W253" s="139"/>
      <c r="X253" s="139"/>
      <c r="Y253" s="139"/>
      <c r="Z253" s="139"/>
    </row>
    <row r="254" spans="1:26" s="143" customFormat="1">
      <c r="A254" s="136"/>
      <c r="B254" s="136"/>
      <c r="C254" s="136"/>
      <c r="D254" s="139"/>
      <c r="E254" s="139"/>
      <c r="F254" s="139"/>
      <c r="G254" s="139"/>
      <c r="H254" s="139"/>
      <c r="I254" s="139"/>
      <c r="J254" s="139"/>
      <c r="K254" s="139"/>
      <c r="L254" s="139"/>
      <c r="M254" s="139"/>
      <c r="N254" s="139"/>
      <c r="O254" s="139"/>
      <c r="P254" s="139"/>
      <c r="Q254" s="139"/>
      <c r="R254" s="139"/>
      <c r="S254" s="139"/>
      <c r="T254" s="139"/>
      <c r="U254" s="139"/>
      <c r="V254" s="139"/>
      <c r="W254" s="139"/>
      <c r="X254" s="139"/>
      <c r="Y254" s="139"/>
      <c r="Z254" s="139"/>
    </row>
    <row r="255" spans="1:26" s="143" customFormat="1">
      <c r="A255" s="136"/>
      <c r="B255" s="136"/>
      <c r="C255" s="136"/>
      <c r="D255" s="139"/>
      <c r="E255" s="139"/>
      <c r="F255" s="139"/>
      <c r="G255" s="139"/>
      <c r="H255" s="139"/>
      <c r="I255" s="139"/>
      <c r="J255" s="139"/>
      <c r="K255" s="139"/>
      <c r="L255" s="139"/>
      <c r="M255" s="139"/>
      <c r="N255" s="139"/>
      <c r="O255" s="139"/>
      <c r="P255" s="139"/>
      <c r="Q255" s="139"/>
      <c r="R255" s="139"/>
      <c r="S255" s="139"/>
      <c r="T255" s="139"/>
      <c r="U255" s="139"/>
      <c r="V255" s="139"/>
      <c r="W255" s="139"/>
      <c r="X255" s="139"/>
      <c r="Y255" s="139"/>
      <c r="Z255" s="139"/>
    </row>
    <row r="256" spans="1:26" s="143" customFormat="1">
      <c r="A256" s="136"/>
      <c r="B256" s="136"/>
      <c r="C256" s="136"/>
      <c r="D256" s="136"/>
      <c r="E256" s="139"/>
      <c r="F256" s="139"/>
      <c r="G256" s="139"/>
      <c r="H256" s="139"/>
      <c r="I256" s="139"/>
      <c r="J256" s="139"/>
      <c r="K256" s="139"/>
      <c r="L256" s="139"/>
      <c r="M256" s="139"/>
      <c r="N256" s="139"/>
      <c r="O256" s="139"/>
      <c r="P256" s="139"/>
      <c r="Q256" s="139"/>
      <c r="R256" s="139"/>
      <c r="S256" s="139"/>
      <c r="T256" s="139"/>
      <c r="U256" s="139"/>
      <c r="V256" s="139"/>
      <c r="W256" s="139"/>
      <c r="X256" s="139"/>
      <c r="Y256" s="139"/>
      <c r="Z256" s="139"/>
    </row>
    <row r="257" spans="1:26" s="143" customFormat="1">
      <c r="A257" s="136"/>
      <c r="B257" s="136"/>
      <c r="C257" s="136"/>
      <c r="D257" s="136"/>
      <c r="E257" s="139"/>
      <c r="F257" s="139"/>
      <c r="G257" s="139"/>
      <c r="H257" s="139"/>
      <c r="I257" s="139"/>
      <c r="J257" s="139"/>
      <c r="K257" s="139"/>
      <c r="L257" s="139"/>
      <c r="M257" s="139"/>
      <c r="N257" s="139"/>
      <c r="O257" s="139"/>
      <c r="P257" s="139"/>
      <c r="Q257" s="139"/>
      <c r="R257" s="139"/>
      <c r="S257" s="139"/>
      <c r="T257" s="139"/>
      <c r="U257" s="139"/>
      <c r="V257" s="139"/>
      <c r="W257" s="139"/>
      <c r="X257" s="139"/>
      <c r="Y257" s="139"/>
      <c r="Z257" s="139"/>
    </row>
    <row r="258" spans="1:26" s="143" customFormat="1">
      <c r="A258" s="136"/>
      <c r="B258" s="136"/>
      <c r="C258" s="136"/>
      <c r="D258" s="136"/>
      <c r="E258" s="139"/>
      <c r="F258" s="139"/>
      <c r="G258" s="139"/>
      <c r="H258" s="139"/>
      <c r="I258" s="139"/>
      <c r="J258" s="139"/>
      <c r="K258" s="139"/>
      <c r="L258" s="139"/>
      <c r="M258" s="139"/>
      <c r="N258" s="139"/>
      <c r="O258" s="139"/>
      <c r="P258" s="139"/>
      <c r="Q258" s="139"/>
      <c r="R258" s="139"/>
      <c r="S258" s="139"/>
      <c r="T258" s="139"/>
      <c r="U258" s="139"/>
      <c r="V258" s="139"/>
      <c r="W258" s="139"/>
      <c r="X258" s="139"/>
      <c r="Y258" s="139"/>
      <c r="Z258" s="139"/>
    </row>
    <row r="259" spans="1:26" s="143" customFormat="1">
      <c r="A259" s="136"/>
      <c r="B259" s="136"/>
      <c r="C259" s="136"/>
      <c r="D259" s="136"/>
      <c r="E259" s="139"/>
      <c r="F259" s="139"/>
      <c r="G259" s="139"/>
      <c r="H259" s="139"/>
      <c r="I259" s="139"/>
      <c r="J259" s="139"/>
      <c r="K259" s="139"/>
      <c r="L259" s="139"/>
      <c r="M259" s="139"/>
      <c r="N259" s="139"/>
      <c r="O259" s="139"/>
      <c r="P259" s="139"/>
      <c r="Q259" s="139"/>
      <c r="R259" s="139"/>
      <c r="S259" s="139"/>
      <c r="T259" s="139"/>
      <c r="U259" s="139"/>
      <c r="V259" s="139"/>
      <c r="W259" s="139"/>
      <c r="X259" s="139"/>
      <c r="Y259" s="139"/>
      <c r="Z259" s="139"/>
    </row>
    <row r="260" spans="1:26" s="143" customFormat="1">
      <c r="A260" s="136"/>
      <c r="B260" s="136"/>
      <c r="C260" s="136"/>
      <c r="D260" s="136"/>
      <c r="E260" s="139"/>
      <c r="F260" s="139"/>
      <c r="G260" s="139"/>
      <c r="H260" s="139"/>
      <c r="I260" s="139"/>
      <c r="J260" s="139"/>
      <c r="K260" s="139"/>
      <c r="L260" s="139"/>
      <c r="M260" s="139"/>
      <c r="N260" s="139"/>
      <c r="O260" s="139"/>
      <c r="P260" s="139"/>
      <c r="Q260" s="139"/>
      <c r="R260" s="139"/>
      <c r="S260" s="139"/>
      <c r="T260" s="139"/>
      <c r="U260" s="139"/>
      <c r="V260" s="139"/>
      <c r="W260" s="139"/>
      <c r="X260" s="139"/>
      <c r="Y260" s="139"/>
      <c r="Z260" s="139"/>
    </row>
    <row r="261" spans="1:26" s="143" customFormat="1">
      <c r="A261" s="136"/>
      <c r="B261" s="136"/>
      <c r="C261" s="136"/>
      <c r="D261" s="136"/>
      <c r="E261" s="139"/>
      <c r="F261" s="139"/>
      <c r="G261" s="139"/>
      <c r="H261" s="139"/>
      <c r="I261" s="139"/>
      <c r="J261" s="139"/>
      <c r="K261" s="139"/>
      <c r="L261" s="139"/>
      <c r="M261" s="139"/>
      <c r="N261" s="139"/>
      <c r="O261" s="139"/>
      <c r="P261" s="139"/>
      <c r="Q261" s="139"/>
      <c r="R261" s="139"/>
      <c r="S261" s="139"/>
      <c r="T261" s="139"/>
      <c r="U261" s="139"/>
      <c r="V261" s="139"/>
      <c r="W261" s="139"/>
      <c r="X261" s="139"/>
      <c r="Y261" s="139"/>
      <c r="Z261" s="139"/>
    </row>
    <row r="262" spans="1:26" s="143" customFormat="1">
      <c r="A262" s="136"/>
      <c r="B262" s="136"/>
      <c r="C262" s="136"/>
      <c r="D262" s="136"/>
      <c r="E262" s="139"/>
      <c r="F262" s="139"/>
      <c r="G262" s="139"/>
      <c r="H262" s="139"/>
      <c r="I262" s="139"/>
      <c r="J262" s="139"/>
      <c r="K262" s="139"/>
      <c r="L262" s="139"/>
      <c r="M262" s="139"/>
      <c r="N262" s="139"/>
      <c r="O262" s="139"/>
      <c r="P262" s="139"/>
      <c r="Q262" s="139"/>
      <c r="R262" s="139"/>
      <c r="S262" s="139"/>
      <c r="T262" s="139"/>
      <c r="U262" s="139"/>
      <c r="V262" s="139"/>
      <c r="W262" s="139"/>
      <c r="X262" s="139"/>
      <c r="Y262" s="139"/>
      <c r="Z262" s="139"/>
    </row>
    <row r="263" spans="1:26" s="225" customFormat="1">
      <c r="A263" s="136"/>
      <c r="B263" s="136"/>
      <c r="C263" s="136"/>
      <c r="D263" s="136"/>
      <c r="E263" s="139"/>
      <c r="F263" s="139"/>
      <c r="G263" s="139"/>
      <c r="H263" s="139"/>
      <c r="I263" s="139"/>
      <c r="J263" s="139"/>
      <c r="K263" s="139"/>
      <c r="L263" s="139"/>
      <c r="M263" s="139"/>
      <c r="N263" s="139"/>
      <c r="O263" s="139"/>
      <c r="P263" s="139"/>
      <c r="Q263" s="139"/>
      <c r="R263" s="139"/>
      <c r="S263" s="139"/>
      <c r="T263" s="139"/>
      <c r="U263" s="139"/>
      <c r="V263" s="139"/>
      <c r="W263" s="139"/>
      <c r="X263" s="139"/>
      <c r="Y263" s="139"/>
      <c r="Z263" s="139"/>
    </row>
    <row r="264" spans="1:26" s="143" customFormat="1">
      <c r="A264" s="139"/>
      <c r="B264" s="139"/>
      <c r="C264" s="139"/>
      <c r="D264" s="156"/>
      <c r="E264" s="139"/>
      <c r="F264" s="139"/>
      <c r="G264" s="139"/>
      <c r="H264" s="139"/>
      <c r="I264" s="139"/>
      <c r="J264" s="139"/>
      <c r="K264" s="139"/>
      <c r="L264" s="139"/>
      <c r="M264" s="139"/>
      <c r="N264" s="139"/>
      <c r="O264" s="139"/>
      <c r="P264" s="139"/>
      <c r="Q264" s="139"/>
      <c r="R264" s="139"/>
      <c r="S264" s="139"/>
      <c r="T264" s="139"/>
      <c r="U264" s="139"/>
      <c r="V264" s="139"/>
      <c r="W264" s="139"/>
      <c r="X264" s="139"/>
      <c r="Y264" s="139"/>
      <c r="Z264" s="139"/>
    </row>
    <row r="265" spans="1:26" s="143" customFormat="1">
      <c r="A265" s="139"/>
      <c r="B265" s="139"/>
      <c r="C265" s="139"/>
      <c r="D265" s="156"/>
      <c r="E265" s="139"/>
      <c r="F265" s="139"/>
      <c r="G265" s="139"/>
      <c r="H265" s="139"/>
      <c r="I265" s="139"/>
      <c r="J265" s="139"/>
      <c r="K265" s="139"/>
      <c r="L265" s="139"/>
      <c r="M265" s="139"/>
      <c r="N265" s="139"/>
      <c r="O265" s="139"/>
      <c r="P265" s="139"/>
      <c r="Q265" s="139"/>
      <c r="R265" s="139"/>
      <c r="S265" s="139"/>
      <c r="T265" s="139"/>
      <c r="U265" s="139"/>
      <c r="V265" s="139"/>
      <c r="W265" s="139"/>
      <c r="X265" s="139"/>
      <c r="Y265" s="139"/>
      <c r="Z265" s="139"/>
    </row>
    <row r="266" spans="1:26" s="143" customFormat="1">
      <c r="A266" s="136"/>
      <c r="B266" s="136"/>
      <c r="C266" s="136"/>
      <c r="D266" s="139"/>
      <c r="E266" s="139"/>
      <c r="F266" s="139"/>
      <c r="G266" s="139"/>
      <c r="H266" s="139"/>
      <c r="I266" s="139"/>
      <c r="J266" s="139"/>
      <c r="K266" s="139"/>
      <c r="L266" s="139"/>
      <c r="M266" s="139"/>
      <c r="N266" s="139"/>
      <c r="O266" s="139"/>
      <c r="P266" s="139"/>
      <c r="Q266" s="139"/>
      <c r="R266" s="139"/>
      <c r="S266" s="139"/>
      <c r="T266" s="139"/>
      <c r="U266" s="139"/>
      <c r="V266" s="139"/>
      <c r="W266" s="139"/>
      <c r="X266" s="139"/>
      <c r="Y266" s="139"/>
      <c r="Z266" s="139"/>
    </row>
    <row r="267" spans="1:26" s="143" customFormat="1">
      <c r="A267" s="136"/>
      <c r="B267" s="136"/>
      <c r="C267" s="136"/>
      <c r="D267" s="139"/>
      <c r="E267" s="139"/>
      <c r="F267" s="139"/>
      <c r="G267" s="139"/>
      <c r="H267" s="139"/>
      <c r="I267" s="139"/>
      <c r="J267" s="139"/>
      <c r="K267" s="139"/>
      <c r="L267" s="139"/>
      <c r="M267" s="139"/>
      <c r="N267" s="139"/>
      <c r="O267" s="139"/>
      <c r="P267" s="139"/>
      <c r="Q267" s="139"/>
      <c r="R267" s="139"/>
      <c r="S267" s="139"/>
      <c r="T267" s="139"/>
      <c r="U267" s="139"/>
      <c r="V267" s="139"/>
      <c r="W267" s="139"/>
      <c r="X267" s="139"/>
      <c r="Y267" s="139"/>
      <c r="Z267" s="139"/>
    </row>
    <row r="268" spans="1:26" s="143" customFormat="1">
      <c r="A268" s="188"/>
      <c r="B268" s="136"/>
      <c r="C268" s="136"/>
      <c r="D268" s="161"/>
      <c r="E268" s="139"/>
      <c r="F268" s="139"/>
      <c r="G268" s="139"/>
      <c r="H268" s="139"/>
      <c r="I268" s="139"/>
      <c r="J268" s="139"/>
      <c r="K268" s="139"/>
      <c r="L268" s="139"/>
      <c r="M268" s="139"/>
      <c r="N268" s="139"/>
      <c r="O268" s="139"/>
      <c r="P268" s="139"/>
      <c r="Q268" s="139"/>
      <c r="R268" s="139"/>
      <c r="S268" s="139"/>
      <c r="T268" s="139"/>
      <c r="U268" s="139"/>
      <c r="V268" s="139"/>
      <c r="W268" s="139"/>
      <c r="X268" s="139"/>
      <c r="Y268" s="139"/>
      <c r="Z268" s="139"/>
    </row>
    <row r="269" spans="1:26" s="143" customFormat="1">
      <c r="A269" s="136"/>
      <c r="B269" s="136"/>
      <c r="C269" s="136"/>
      <c r="D269" s="136"/>
      <c r="E269" s="139"/>
      <c r="F269" s="139"/>
      <c r="G269" s="139"/>
      <c r="H269" s="139"/>
      <c r="I269" s="139"/>
      <c r="J269" s="139"/>
      <c r="K269" s="139"/>
      <c r="L269" s="139"/>
      <c r="M269" s="139"/>
      <c r="N269" s="139"/>
      <c r="O269" s="139"/>
      <c r="P269" s="139"/>
      <c r="Q269" s="139"/>
      <c r="R269" s="139"/>
      <c r="S269" s="139"/>
      <c r="T269" s="139"/>
      <c r="U269" s="139"/>
      <c r="V269" s="139"/>
      <c r="W269" s="139"/>
      <c r="X269" s="139"/>
      <c r="Y269" s="139"/>
      <c r="Z269" s="139"/>
    </row>
    <row r="270" spans="1:26" s="143" customFormat="1">
      <c r="A270" s="136"/>
      <c r="B270" s="136"/>
      <c r="C270" s="136"/>
      <c r="D270" s="136"/>
      <c r="E270" s="139"/>
      <c r="F270" s="139"/>
      <c r="G270" s="139"/>
      <c r="H270" s="139"/>
      <c r="I270" s="139"/>
      <c r="J270" s="139"/>
      <c r="K270" s="139"/>
      <c r="L270" s="139"/>
      <c r="M270" s="139"/>
      <c r="N270" s="139"/>
      <c r="O270" s="139"/>
      <c r="P270" s="139"/>
      <c r="Q270" s="139"/>
      <c r="R270" s="139"/>
      <c r="S270" s="139"/>
      <c r="T270" s="139"/>
      <c r="U270" s="139"/>
      <c r="V270" s="139"/>
      <c r="W270" s="139"/>
      <c r="X270" s="139"/>
      <c r="Y270" s="139"/>
      <c r="Z270" s="139"/>
    </row>
    <row r="271" spans="1:26" s="143" customFormat="1">
      <c r="A271" s="136"/>
      <c r="B271" s="136"/>
      <c r="C271" s="136"/>
      <c r="D271" s="136"/>
      <c r="E271" s="139"/>
      <c r="F271" s="139"/>
      <c r="G271" s="139"/>
      <c r="H271" s="139"/>
      <c r="I271" s="139"/>
      <c r="J271" s="139"/>
      <c r="K271" s="139"/>
      <c r="L271" s="139"/>
      <c r="M271" s="139"/>
      <c r="N271" s="139"/>
      <c r="O271" s="139"/>
      <c r="P271" s="139"/>
      <c r="Q271" s="139"/>
      <c r="R271" s="139"/>
      <c r="S271" s="139"/>
      <c r="T271" s="139"/>
      <c r="U271" s="139"/>
      <c r="V271" s="139"/>
      <c r="W271" s="139"/>
      <c r="X271" s="139"/>
      <c r="Y271" s="139"/>
      <c r="Z271" s="139"/>
    </row>
    <row r="272" spans="1:26" s="282" customFormat="1">
      <c r="A272" s="139"/>
      <c r="B272" s="139"/>
      <c r="C272" s="139"/>
      <c r="D272" s="156"/>
      <c r="E272" s="139"/>
      <c r="F272" s="139"/>
      <c r="G272" s="139"/>
      <c r="H272" s="139"/>
      <c r="I272" s="139"/>
      <c r="J272" s="139"/>
      <c r="K272" s="139"/>
      <c r="L272" s="139"/>
      <c r="M272" s="139"/>
      <c r="N272" s="139"/>
      <c r="O272" s="139"/>
      <c r="P272" s="139"/>
      <c r="Q272" s="139"/>
      <c r="R272" s="139"/>
      <c r="S272" s="139"/>
      <c r="T272" s="139"/>
      <c r="U272" s="139"/>
      <c r="V272" s="139"/>
      <c r="W272" s="139"/>
      <c r="X272" s="139"/>
      <c r="Y272" s="139"/>
      <c r="Z272" s="139"/>
    </row>
    <row r="273" spans="1:26" s="143" customFormat="1" ht="13.2">
      <c r="A273" s="139"/>
      <c r="B273" s="139"/>
      <c r="C273" s="194"/>
      <c r="D273" s="139"/>
      <c r="E273" s="139"/>
      <c r="F273" s="139"/>
      <c r="G273" s="139"/>
      <c r="H273" s="139"/>
      <c r="I273" s="139"/>
      <c r="J273" s="139"/>
      <c r="K273" s="139"/>
      <c r="L273" s="139"/>
      <c r="M273" s="139"/>
      <c r="N273" s="139"/>
      <c r="O273" s="139"/>
      <c r="P273" s="139"/>
      <c r="Q273" s="139"/>
      <c r="R273" s="139"/>
      <c r="S273" s="139"/>
      <c r="T273" s="139"/>
      <c r="U273" s="139"/>
      <c r="V273" s="139"/>
      <c r="W273" s="139"/>
      <c r="X273" s="139"/>
      <c r="Y273" s="139"/>
      <c r="Z273" s="139"/>
    </row>
    <row r="274" spans="1:26" s="143" customFormat="1" ht="13.2">
      <c r="A274" s="139"/>
      <c r="B274" s="139"/>
      <c r="C274" s="194"/>
      <c r="D274" s="139"/>
      <c r="E274" s="139"/>
      <c r="F274" s="139"/>
      <c r="G274" s="139"/>
      <c r="H274" s="139"/>
      <c r="I274" s="139"/>
      <c r="J274" s="139"/>
      <c r="K274" s="139"/>
      <c r="L274" s="139"/>
      <c r="M274" s="139"/>
      <c r="N274" s="139"/>
      <c r="O274" s="139"/>
      <c r="P274" s="139"/>
      <c r="Q274" s="139"/>
      <c r="R274" s="139"/>
      <c r="S274" s="139"/>
      <c r="T274" s="139"/>
      <c r="U274" s="139"/>
      <c r="V274" s="139"/>
      <c r="W274" s="139"/>
      <c r="X274" s="139"/>
      <c r="Y274" s="139"/>
      <c r="Z274" s="139"/>
    </row>
    <row r="275" spans="1:26" s="143" customFormat="1">
      <c r="A275" s="139"/>
      <c r="B275" s="139"/>
      <c r="C275" s="139"/>
      <c r="D275" s="156"/>
      <c r="E275" s="139"/>
      <c r="F275" s="139"/>
      <c r="G275" s="139"/>
      <c r="H275" s="139"/>
      <c r="I275" s="139"/>
      <c r="J275" s="139"/>
      <c r="K275" s="139"/>
      <c r="L275" s="139"/>
      <c r="M275" s="139"/>
      <c r="N275" s="139"/>
      <c r="O275" s="139"/>
      <c r="P275" s="139"/>
      <c r="Q275" s="139"/>
      <c r="R275" s="139"/>
      <c r="S275" s="139"/>
      <c r="T275" s="139"/>
      <c r="U275" s="139"/>
      <c r="V275" s="139"/>
      <c r="W275" s="139"/>
      <c r="X275" s="139"/>
      <c r="Y275" s="139"/>
      <c r="Z275" s="139"/>
    </row>
    <row r="276" spans="1:26" s="143" customFormat="1">
      <c r="A276" s="139"/>
      <c r="B276" s="139"/>
      <c r="C276" s="139"/>
      <c r="D276" s="156"/>
      <c r="E276" s="139"/>
      <c r="F276" s="139"/>
      <c r="G276" s="139"/>
      <c r="H276" s="139"/>
      <c r="I276" s="139"/>
      <c r="J276" s="139"/>
      <c r="K276" s="139"/>
      <c r="L276" s="139"/>
      <c r="M276" s="139"/>
      <c r="N276" s="139"/>
      <c r="O276" s="139"/>
      <c r="P276" s="139"/>
      <c r="Q276" s="139"/>
      <c r="R276" s="139"/>
      <c r="S276" s="139"/>
      <c r="T276" s="139"/>
      <c r="U276" s="139"/>
      <c r="V276" s="139"/>
      <c r="W276" s="139"/>
      <c r="X276" s="139"/>
      <c r="Y276" s="139"/>
      <c r="Z276" s="139"/>
    </row>
    <row r="277" spans="1:26" s="143" customFormat="1">
      <c r="A277" s="139"/>
      <c r="B277" s="139"/>
      <c r="C277" s="139"/>
      <c r="D277" s="156"/>
      <c r="E277" s="139"/>
      <c r="F277" s="139"/>
      <c r="G277" s="139"/>
      <c r="H277" s="139"/>
      <c r="I277" s="139"/>
      <c r="J277" s="139"/>
      <c r="K277" s="139"/>
      <c r="L277" s="139"/>
      <c r="M277" s="139"/>
      <c r="N277" s="139"/>
      <c r="O277" s="139"/>
      <c r="P277" s="139"/>
      <c r="Q277" s="139"/>
      <c r="R277" s="139"/>
      <c r="S277" s="139"/>
      <c r="T277" s="139"/>
      <c r="U277" s="139"/>
      <c r="V277" s="139"/>
      <c r="W277" s="139"/>
      <c r="X277" s="139"/>
      <c r="Y277" s="139"/>
      <c r="Z277" s="139"/>
    </row>
    <row r="278" spans="1:26" s="143" customFormat="1">
      <c r="A278" s="136"/>
      <c r="B278" s="136"/>
      <c r="C278" s="136"/>
      <c r="D278" s="139"/>
      <c r="E278" s="139"/>
      <c r="F278" s="139"/>
      <c r="G278" s="139"/>
      <c r="H278" s="139"/>
      <c r="I278" s="139"/>
      <c r="J278" s="139"/>
      <c r="K278" s="139"/>
      <c r="L278" s="139"/>
      <c r="M278" s="139"/>
      <c r="N278" s="139"/>
      <c r="O278" s="139"/>
      <c r="P278" s="139"/>
      <c r="Q278" s="139"/>
      <c r="R278" s="139"/>
      <c r="S278" s="139"/>
      <c r="T278" s="139"/>
      <c r="U278" s="139"/>
      <c r="V278" s="139"/>
      <c r="W278" s="139"/>
      <c r="X278" s="139"/>
      <c r="Y278" s="139"/>
      <c r="Z278" s="139"/>
    </row>
    <row r="279" spans="1:26" s="143" customFormat="1">
      <c r="A279" s="136"/>
      <c r="B279" s="136"/>
      <c r="C279" s="136"/>
      <c r="D279" s="139"/>
      <c r="E279" s="139"/>
      <c r="F279" s="139"/>
      <c r="G279" s="139"/>
      <c r="H279" s="139"/>
      <c r="I279" s="139"/>
      <c r="J279" s="139"/>
      <c r="K279" s="139"/>
      <c r="L279" s="139"/>
      <c r="M279" s="139"/>
      <c r="N279" s="139"/>
      <c r="O279" s="139"/>
      <c r="P279" s="139"/>
      <c r="Q279" s="139"/>
      <c r="R279" s="139"/>
      <c r="S279" s="139"/>
      <c r="T279" s="139"/>
      <c r="U279" s="139"/>
      <c r="V279" s="139"/>
      <c r="W279" s="139"/>
      <c r="X279" s="139"/>
      <c r="Y279" s="139"/>
      <c r="Z279" s="139"/>
    </row>
    <row r="280" spans="1:26" s="143" customFormat="1">
      <c r="A280" s="188"/>
      <c r="B280" s="136"/>
      <c r="C280" s="136"/>
      <c r="D280" s="161"/>
      <c r="E280" s="139"/>
      <c r="F280" s="139"/>
      <c r="G280" s="139"/>
      <c r="H280" s="139"/>
      <c r="I280" s="139"/>
      <c r="J280" s="139"/>
      <c r="K280" s="139"/>
      <c r="L280" s="139"/>
      <c r="M280" s="139"/>
      <c r="N280" s="139"/>
      <c r="O280" s="139"/>
      <c r="P280" s="139"/>
      <c r="Q280" s="139"/>
      <c r="R280" s="139"/>
      <c r="S280" s="139"/>
      <c r="T280" s="139"/>
      <c r="U280" s="139"/>
      <c r="V280" s="139"/>
      <c r="W280" s="139"/>
      <c r="X280" s="139"/>
      <c r="Y280" s="139"/>
      <c r="Z280" s="139"/>
    </row>
    <row r="281" spans="1:26">
      <c r="A281" s="136"/>
      <c r="B281" s="136"/>
      <c r="C281" s="136"/>
      <c r="D281" s="136"/>
    </row>
    <row r="282" spans="1:26">
      <c r="A282" s="136"/>
      <c r="B282" s="136"/>
      <c r="C282" s="136"/>
      <c r="D282" s="136"/>
    </row>
    <row r="283" spans="1:26">
      <c r="A283" s="136"/>
      <c r="B283" s="136"/>
      <c r="C283" s="136"/>
      <c r="D283" s="136"/>
    </row>
    <row r="284" spans="1:26">
      <c r="A284" s="136"/>
      <c r="B284" s="136"/>
      <c r="C284" s="136"/>
      <c r="D284" s="136"/>
    </row>
    <row r="285" spans="1:26">
      <c r="A285" s="136"/>
      <c r="B285" s="136"/>
      <c r="C285" s="136"/>
      <c r="D285" s="136"/>
    </row>
    <row r="286" spans="1:26">
      <c r="A286" s="136"/>
      <c r="B286" s="136"/>
      <c r="C286" s="136"/>
      <c r="D286" s="136"/>
    </row>
    <row r="287" spans="1:26">
      <c r="A287" s="136"/>
      <c r="B287" s="136"/>
      <c r="C287" s="136"/>
      <c r="D287" s="136"/>
    </row>
    <row r="288" spans="1:26">
      <c r="A288" s="136"/>
      <c r="B288" s="136"/>
      <c r="C288" s="136"/>
      <c r="D288" s="136"/>
    </row>
    <row r="289" spans="1:4">
      <c r="A289" s="136"/>
      <c r="B289" s="136"/>
      <c r="C289" s="136"/>
      <c r="D289" s="136"/>
    </row>
    <row r="290" spans="1:4">
      <c r="A290" s="136"/>
      <c r="B290" s="136"/>
      <c r="C290" s="136"/>
      <c r="D290" s="136"/>
    </row>
    <row r="291" spans="1:4">
      <c r="A291" s="136"/>
      <c r="B291" s="136"/>
      <c r="C291" s="136"/>
      <c r="D291" s="136"/>
    </row>
    <row r="292" spans="1:4">
      <c r="A292" s="136"/>
      <c r="B292" s="136"/>
      <c r="C292" s="136"/>
      <c r="D292" s="136"/>
    </row>
    <row r="293" spans="1:4">
      <c r="A293" s="136"/>
      <c r="B293" s="136"/>
      <c r="C293" s="136"/>
      <c r="D293" s="136"/>
    </row>
    <row r="294" spans="1:4">
      <c r="A294" s="136"/>
      <c r="B294" s="136"/>
      <c r="C294" s="136"/>
      <c r="D294" s="136"/>
    </row>
    <row r="295" spans="1:4">
      <c r="A295" s="136"/>
      <c r="B295" s="136"/>
      <c r="C295" s="136"/>
      <c r="D295" s="136"/>
    </row>
    <row r="296" spans="1:4">
      <c r="A296" s="136"/>
      <c r="B296" s="136"/>
      <c r="C296" s="136"/>
      <c r="D296" s="136"/>
    </row>
    <row r="297" spans="1:4">
      <c r="A297" s="136"/>
      <c r="B297" s="136"/>
      <c r="C297" s="136"/>
      <c r="D297" s="136"/>
    </row>
    <row r="298" spans="1:4">
      <c r="A298" s="136"/>
      <c r="B298" s="136"/>
      <c r="C298" s="136"/>
      <c r="D298" s="136"/>
    </row>
    <row r="299" spans="1:4">
      <c r="A299" s="136"/>
      <c r="B299" s="136"/>
      <c r="C299" s="136"/>
      <c r="D299" s="136"/>
    </row>
    <row r="300" spans="1:4">
      <c r="A300" s="136"/>
      <c r="B300" s="136"/>
      <c r="C300" s="136"/>
      <c r="D300" s="136"/>
    </row>
    <row r="301" spans="1:4">
      <c r="A301" s="136"/>
      <c r="B301" s="136"/>
      <c r="C301" s="136"/>
      <c r="D301" s="161"/>
    </row>
    <row r="302" spans="1:4">
      <c r="A302" s="136"/>
      <c r="B302" s="136"/>
      <c r="C302" s="136"/>
      <c r="D302" s="136"/>
    </row>
    <row r="303" spans="1:4">
      <c r="A303" s="136"/>
      <c r="B303" s="136"/>
      <c r="C303" s="136"/>
      <c r="D303" s="136"/>
    </row>
    <row r="304" spans="1:4">
      <c r="A304" s="136"/>
      <c r="B304" s="136"/>
      <c r="C304" s="136"/>
      <c r="D304" s="136"/>
    </row>
    <row r="305" spans="1:4">
      <c r="A305" s="136"/>
      <c r="B305" s="136"/>
      <c r="C305" s="136"/>
      <c r="D305" s="136"/>
    </row>
    <row r="306" spans="1:4">
      <c r="A306" s="136"/>
      <c r="B306" s="136"/>
      <c r="C306" s="136"/>
      <c r="D306" s="136"/>
    </row>
    <row r="307" spans="1:4">
      <c r="A307" s="136"/>
      <c r="B307" s="136"/>
      <c r="C307" s="136"/>
      <c r="D307" s="136"/>
    </row>
    <row r="308" spans="1:4">
      <c r="A308" s="136"/>
      <c r="B308" s="136"/>
      <c r="C308" s="136"/>
      <c r="D308" s="136"/>
    </row>
    <row r="309" spans="1:4">
      <c r="A309" s="136"/>
      <c r="B309" s="136"/>
      <c r="C309" s="136"/>
      <c r="D309" s="136"/>
    </row>
    <row r="310" spans="1:4">
      <c r="A310" s="136"/>
      <c r="B310" s="136"/>
      <c r="C310" s="136"/>
      <c r="D310" s="136"/>
    </row>
    <row r="311" spans="1:4">
      <c r="A311" s="136"/>
      <c r="B311" s="136"/>
      <c r="C311" s="136"/>
      <c r="D311" s="136"/>
    </row>
    <row r="312" spans="1:4">
      <c r="A312" s="136"/>
      <c r="B312" s="136"/>
      <c r="C312" s="136"/>
      <c r="D312" s="136"/>
    </row>
    <row r="313" spans="1:4">
      <c r="D313" s="156"/>
    </row>
    <row r="314" spans="1:4">
      <c r="D314" s="156"/>
    </row>
    <row r="315" spans="1:4">
      <c r="D315" s="156"/>
    </row>
    <row r="316" spans="1:4">
      <c r="D316" s="156"/>
    </row>
    <row r="317" spans="1:4">
      <c r="D317" s="156"/>
    </row>
    <row r="318" spans="1:4">
      <c r="D318" s="156"/>
    </row>
    <row r="319" spans="1:4">
      <c r="D319" s="156"/>
    </row>
    <row r="320" spans="1:4">
      <c r="D320" s="267"/>
    </row>
    <row r="321" spans="1:26">
      <c r="D321" s="267"/>
    </row>
    <row r="322" spans="1:26" s="143" customFormat="1">
      <c r="A322" s="139"/>
      <c r="B322" s="139"/>
      <c r="C322" s="139"/>
      <c r="D322" s="156"/>
      <c r="E322" s="139"/>
      <c r="F322" s="139"/>
      <c r="G322" s="139"/>
      <c r="H322" s="139"/>
      <c r="I322" s="139"/>
      <c r="J322" s="139"/>
      <c r="K322" s="139"/>
      <c r="L322" s="139"/>
      <c r="M322" s="139"/>
      <c r="N322" s="139"/>
      <c r="O322" s="139"/>
      <c r="P322" s="139"/>
      <c r="Q322" s="139"/>
      <c r="R322" s="139"/>
      <c r="S322" s="139"/>
      <c r="T322" s="139"/>
      <c r="U322" s="139"/>
      <c r="V322" s="139"/>
      <c r="W322" s="139"/>
      <c r="X322" s="139"/>
      <c r="Y322" s="139"/>
      <c r="Z322" s="139"/>
    </row>
    <row r="323" spans="1:26" s="291" customFormat="1">
      <c r="A323" s="139"/>
      <c r="B323" s="139"/>
      <c r="C323" s="139"/>
      <c r="D323" s="156"/>
      <c r="E323" s="139"/>
      <c r="F323" s="139"/>
      <c r="G323" s="139"/>
      <c r="H323" s="139"/>
      <c r="I323" s="139"/>
      <c r="J323" s="139"/>
      <c r="K323" s="139"/>
      <c r="L323" s="139"/>
      <c r="M323" s="139"/>
      <c r="N323" s="139"/>
      <c r="O323" s="139"/>
      <c r="P323" s="139"/>
      <c r="Q323" s="139"/>
      <c r="R323" s="139"/>
      <c r="S323" s="139"/>
      <c r="T323" s="139"/>
      <c r="U323" s="139"/>
      <c r="V323" s="139"/>
      <c r="W323" s="139"/>
      <c r="X323" s="139"/>
      <c r="Y323" s="139"/>
      <c r="Z323" s="139"/>
    </row>
    <row r="324" spans="1:26" s="143" customFormat="1">
      <c r="A324" s="139"/>
      <c r="B324" s="139"/>
      <c r="C324" s="139"/>
      <c r="D324" s="156"/>
      <c r="E324" s="139"/>
      <c r="F324" s="139"/>
      <c r="G324" s="139"/>
      <c r="H324" s="139"/>
      <c r="I324" s="139"/>
      <c r="J324" s="139"/>
      <c r="K324" s="139"/>
      <c r="L324" s="139"/>
      <c r="M324" s="139"/>
      <c r="N324" s="139"/>
      <c r="O324" s="139"/>
      <c r="P324" s="139"/>
      <c r="Q324" s="139"/>
      <c r="R324" s="139"/>
      <c r="S324" s="139"/>
      <c r="T324" s="139"/>
      <c r="U324" s="139"/>
      <c r="V324" s="139"/>
      <c r="W324" s="139"/>
      <c r="X324" s="139"/>
      <c r="Y324" s="139"/>
      <c r="Z324" s="139"/>
    </row>
    <row r="325" spans="1:26" s="291" customFormat="1">
      <c r="A325" s="139"/>
      <c r="B325" s="139"/>
      <c r="C325" s="139"/>
      <c r="D325" s="156"/>
      <c r="E325" s="139"/>
      <c r="F325" s="139"/>
      <c r="G325" s="139"/>
      <c r="H325" s="139"/>
      <c r="I325" s="139"/>
      <c r="J325" s="139"/>
      <c r="K325" s="139"/>
      <c r="L325" s="139"/>
      <c r="M325" s="139"/>
      <c r="N325" s="139"/>
      <c r="O325" s="139"/>
      <c r="P325" s="139"/>
      <c r="Q325" s="139"/>
      <c r="R325" s="139"/>
      <c r="S325" s="139"/>
      <c r="T325" s="139"/>
      <c r="U325" s="139"/>
      <c r="V325" s="139"/>
      <c r="W325" s="139"/>
      <c r="X325" s="139"/>
      <c r="Y325" s="139"/>
      <c r="Z325" s="139"/>
    </row>
    <row r="326" spans="1:26" s="291" customFormat="1">
      <c r="A326" s="136"/>
      <c r="B326" s="136"/>
      <c r="C326" s="136"/>
      <c r="D326" s="161"/>
      <c r="E326" s="139"/>
      <c r="F326" s="139"/>
      <c r="G326" s="139"/>
      <c r="H326" s="139"/>
      <c r="I326" s="139"/>
      <c r="J326" s="139"/>
      <c r="K326" s="139"/>
      <c r="L326" s="139"/>
      <c r="M326" s="139"/>
      <c r="N326" s="139"/>
      <c r="O326" s="139"/>
      <c r="P326" s="139"/>
      <c r="Q326" s="139"/>
      <c r="R326" s="139"/>
      <c r="S326" s="139"/>
      <c r="T326" s="139"/>
      <c r="U326" s="139"/>
      <c r="V326" s="139"/>
      <c r="W326" s="139"/>
      <c r="X326" s="139"/>
      <c r="Y326" s="139"/>
      <c r="Z326" s="139"/>
    </row>
    <row r="327" spans="1:26" s="291" customFormat="1">
      <c r="A327" s="136"/>
      <c r="B327" s="136"/>
      <c r="C327" s="136"/>
      <c r="D327" s="136"/>
      <c r="E327" s="139"/>
      <c r="F327" s="139"/>
      <c r="G327" s="139"/>
      <c r="H327" s="139"/>
      <c r="I327" s="139"/>
      <c r="J327" s="139"/>
      <c r="K327" s="139"/>
      <c r="L327" s="139"/>
      <c r="M327" s="139"/>
      <c r="N327" s="139"/>
      <c r="O327" s="139"/>
      <c r="P327" s="139"/>
      <c r="Q327" s="139"/>
      <c r="R327" s="139"/>
      <c r="S327" s="139"/>
      <c r="T327" s="139"/>
      <c r="U327" s="139"/>
      <c r="V327" s="139"/>
      <c r="W327" s="139"/>
      <c r="X327" s="139"/>
      <c r="Y327" s="139"/>
      <c r="Z327" s="139"/>
    </row>
    <row r="328" spans="1:26" s="291" customFormat="1">
      <c r="A328" s="136"/>
      <c r="B328" s="136"/>
      <c r="C328" s="136"/>
      <c r="D328" s="161"/>
      <c r="E328" s="139"/>
      <c r="F328" s="139"/>
      <c r="G328" s="139"/>
      <c r="H328" s="139"/>
      <c r="I328" s="139"/>
      <c r="J328" s="139"/>
      <c r="K328" s="139"/>
      <c r="L328" s="139"/>
      <c r="M328" s="139"/>
      <c r="N328" s="139"/>
      <c r="O328" s="139"/>
      <c r="P328" s="139"/>
      <c r="Q328" s="139"/>
      <c r="R328" s="139"/>
      <c r="S328" s="139"/>
      <c r="T328" s="139"/>
      <c r="U328" s="139"/>
      <c r="V328" s="139"/>
      <c r="W328" s="139"/>
      <c r="X328" s="139"/>
      <c r="Y328" s="139"/>
      <c r="Z328" s="139"/>
    </row>
    <row r="329" spans="1:26" s="291" customFormat="1">
      <c r="A329" s="136"/>
      <c r="B329" s="136"/>
      <c r="C329" s="136"/>
      <c r="D329" s="136"/>
      <c r="E329" s="139"/>
      <c r="F329" s="139"/>
      <c r="G329" s="139"/>
      <c r="H329" s="139"/>
      <c r="I329" s="139"/>
      <c r="J329" s="139"/>
      <c r="K329" s="139"/>
      <c r="L329" s="139"/>
      <c r="M329" s="139"/>
      <c r="N329" s="139"/>
      <c r="O329" s="139"/>
      <c r="P329" s="139"/>
      <c r="Q329" s="139"/>
      <c r="R329" s="139"/>
      <c r="S329" s="139"/>
      <c r="T329" s="139"/>
      <c r="U329" s="139"/>
      <c r="V329" s="139"/>
      <c r="W329" s="139"/>
      <c r="X329" s="139"/>
      <c r="Y329" s="139"/>
      <c r="Z329" s="139"/>
    </row>
    <row r="330" spans="1:26" s="291" customFormat="1">
      <c r="A330" s="136"/>
      <c r="B330" s="136"/>
      <c r="C330" s="136"/>
      <c r="D330" s="136"/>
      <c r="E330" s="139"/>
      <c r="F330" s="139"/>
      <c r="G330" s="139"/>
      <c r="H330" s="139"/>
      <c r="I330" s="139"/>
      <c r="J330" s="139"/>
      <c r="K330" s="139"/>
      <c r="L330" s="139"/>
      <c r="M330" s="139"/>
      <c r="N330" s="139"/>
      <c r="O330" s="139"/>
      <c r="P330" s="139"/>
      <c r="Q330" s="139"/>
      <c r="R330" s="139"/>
      <c r="S330" s="139"/>
      <c r="T330" s="139"/>
      <c r="U330" s="139"/>
      <c r="V330" s="139"/>
      <c r="W330" s="139"/>
      <c r="X330" s="139"/>
      <c r="Y330" s="139"/>
      <c r="Z330" s="139"/>
    </row>
    <row r="331" spans="1:26" s="291" customFormat="1">
      <c r="A331" s="136"/>
      <c r="B331" s="136"/>
      <c r="C331" s="136"/>
      <c r="D331" s="136"/>
      <c r="E331" s="139"/>
      <c r="F331" s="139"/>
      <c r="G331" s="139"/>
      <c r="H331" s="139"/>
      <c r="I331" s="139"/>
      <c r="J331" s="139"/>
      <c r="K331" s="139"/>
      <c r="L331" s="139"/>
      <c r="M331" s="139"/>
      <c r="N331" s="139"/>
      <c r="O331" s="139"/>
      <c r="P331" s="139"/>
      <c r="Q331" s="139"/>
      <c r="R331" s="139"/>
      <c r="S331" s="139"/>
      <c r="T331" s="139"/>
      <c r="U331" s="139"/>
      <c r="V331" s="139"/>
      <c r="W331" s="139"/>
      <c r="X331" s="139"/>
      <c r="Y331" s="139"/>
      <c r="Z331" s="139"/>
    </row>
    <row r="332" spans="1:26" s="291" customFormat="1">
      <c r="A332" s="136"/>
      <c r="B332" s="136"/>
      <c r="C332" s="136"/>
      <c r="D332" s="136"/>
      <c r="E332" s="139"/>
      <c r="F332" s="139"/>
      <c r="G332" s="139"/>
      <c r="H332" s="139"/>
      <c r="I332" s="139"/>
      <c r="J332" s="139"/>
      <c r="K332" s="139"/>
      <c r="L332" s="139"/>
      <c r="M332" s="139"/>
      <c r="N332" s="139"/>
      <c r="O332" s="139"/>
      <c r="P332" s="139"/>
      <c r="Q332" s="139"/>
      <c r="R332" s="139"/>
      <c r="S332" s="139"/>
      <c r="T332" s="139"/>
      <c r="U332" s="139"/>
      <c r="V332" s="139"/>
      <c r="W332" s="139"/>
      <c r="X332" s="139"/>
      <c r="Y332" s="139"/>
      <c r="Z332" s="139"/>
    </row>
    <row r="333" spans="1:26" s="291" customFormat="1">
      <c r="A333" s="136"/>
      <c r="B333" s="136"/>
      <c r="C333" s="136"/>
      <c r="D333" s="136"/>
      <c r="E333" s="139"/>
      <c r="F333" s="139"/>
      <c r="G333" s="139"/>
      <c r="H333" s="139"/>
      <c r="I333" s="139"/>
      <c r="J333" s="139"/>
      <c r="K333" s="139"/>
      <c r="L333" s="139"/>
      <c r="M333" s="139"/>
      <c r="N333" s="139"/>
      <c r="O333" s="139"/>
      <c r="P333" s="139"/>
      <c r="Q333" s="139"/>
      <c r="R333" s="139"/>
      <c r="S333" s="139"/>
      <c r="T333" s="139"/>
      <c r="U333" s="139"/>
      <c r="V333" s="139"/>
      <c r="W333" s="139"/>
      <c r="X333" s="139"/>
      <c r="Y333" s="139"/>
      <c r="Z333" s="139"/>
    </row>
    <row r="334" spans="1:26" s="291" customFormat="1">
      <c r="A334" s="136"/>
      <c r="B334" s="136"/>
      <c r="C334" s="136"/>
      <c r="D334" s="136"/>
      <c r="E334" s="139"/>
      <c r="F334" s="139"/>
      <c r="G334" s="139"/>
      <c r="H334" s="139"/>
      <c r="I334" s="139"/>
      <c r="J334" s="139"/>
      <c r="K334" s="139"/>
      <c r="L334" s="139"/>
      <c r="M334" s="139"/>
      <c r="N334" s="139"/>
      <c r="O334" s="139"/>
      <c r="P334" s="139"/>
      <c r="Q334" s="139"/>
      <c r="R334" s="139"/>
      <c r="S334" s="139"/>
      <c r="T334" s="139"/>
      <c r="U334" s="139"/>
      <c r="V334" s="139"/>
      <c r="W334" s="139"/>
      <c r="X334" s="139"/>
      <c r="Y334" s="139"/>
      <c r="Z334" s="139"/>
    </row>
    <row r="335" spans="1:26" s="291" customFormat="1">
      <c r="A335" s="136"/>
      <c r="B335" s="136"/>
      <c r="C335" s="136"/>
      <c r="D335" s="136"/>
      <c r="E335" s="139"/>
      <c r="F335" s="139"/>
      <c r="G335" s="139"/>
      <c r="H335" s="139"/>
      <c r="I335" s="139"/>
      <c r="J335" s="139"/>
      <c r="K335" s="139"/>
      <c r="L335" s="139"/>
      <c r="M335" s="139"/>
      <c r="N335" s="139"/>
      <c r="O335" s="139"/>
      <c r="P335" s="139"/>
      <c r="Q335" s="139"/>
      <c r="R335" s="139"/>
      <c r="S335" s="139"/>
      <c r="T335" s="139"/>
      <c r="U335" s="139"/>
      <c r="V335" s="139"/>
      <c r="W335" s="139"/>
      <c r="X335" s="139"/>
      <c r="Y335" s="139"/>
      <c r="Z335" s="139"/>
    </row>
    <row r="336" spans="1:26" s="291" customFormat="1">
      <c r="A336" s="136"/>
      <c r="B336" s="136"/>
      <c r="C336" s="136"/>
      <c r="D336" s="136"/>
      <c r="E336" s="139"/>
      <c r="F336" s="139"/>
      <c r="G336" s="139"/>
      <c r="H336" s="139"/>
      <c r="I336" s="139"/>
      <c r="J336" s="139"/>
      <c r="K336" s="139"/>
      <c r="L336" s="139"/>
      <c r="M336" s="139"/>
      <c r="N336" s="139"/>
      <c r="O336" s="139"/>
      <c r="P336" s="139"/>
      <c r="Q336" s="139"/>
      <c r="R336" s="139"/>
      <c r="S336" s="139"/>
      <c r="T336" s="139"/>
      <c r="U336" s="139"/>
      <c r="V336" s="139"/>
      <c r="W336" s="139"/>
      <c r="X336" s="139"/>
      <c r="Y336" s="139"/>
      <c r="Z336" s="139"/>
    </row>
    <row r="337" spans="1:26" s="291" customFormat="1">
      <c r="A337" s="136"/>
      <c r="B337" s="136"/>
      <c r="C337" s="136"/>
      <c r="D337" s="136"/>
      <c r="E337" s="139"/>
      <c r="F337" s="139"/>
      <c r="G337" s="139"/>
      <c r="H337" s="139"/>
      <c r="I337" s="139"/>
      <c r="J337" s="139"/>
      <c r="K337" s="139"/>
      <c r="L337" s="139"/>
      <c r="M337" s="139"/>
      <c r="N337" s="139"/>
      <c r="O337" s="139"/>
      <c r="P337" s="139"/>
      <c r="Q337" s="139"/>
      <c r="R337" s="139"/>
      <c r="S337" s="139"/>
      <c r="T337" s="139"/>
      <c r="U337" s="139"/>
      <c r="V337" s="139"/>
      <c r="W337" s="139"/>
      <c r="X337" s="139"/>
      <c r="Y337" s="139"/>
      <c r="Z337" s="139"/>
    </row>
    <row r="338" spans="1:26" s="291" customFormat="1">
      <c r="A338" s="136"/>
      <c r="B338" s="136"/>
      <c r="C338" s="136"/>
      <c r="D338" s="136"/>
      <c r="E338" s="139"/>
      <c r="F338" s="139"/>
      <c r="G338" s="139"/>
      <c r="H338" s="139"/>
      <c r="I338" s="139"/>
      <c r="J338" s="139"/>
      <c r="K338" s="139"/>
      <c r="L338" s="139"/>
      <c r="M338" s="139"/>
      <c r="N338" s="139"/>
      <c r="O338" s="139"/>
      <c r="P338" s="139"/>
      <c r="Q338" s="139"/>
      <c r="R338" s="139"/>
      <c r="S338" s="139"/>
      <c r="T338" s="139"/>
      <c r="U338" s="139"/>
      <c r="V338" s="139"/>
      <c r="W338" s="139"/>
      <c r="X338" s="139"/>
      <c r="Y338" s="139"/>
      <c r="Z338" s="139"/>
    </row>
    <row r="339" spans="1:26" s="291" customFormat="1">
      <c r="A339" s="136"/>
      <c r="B339" s="136"/>
      <c r="C339" s="136"/>
      <c r="D339" s="136"/>
      <c r="E339" s="139"/>
      <c r="F339" s="139"/>
      <c r="G339" s="139"/>
      <c r="H339" s="139"/>
      <c r="I339" s="139"/>
      <c r="J339" s="139"/>
      <c r="K339" s="139"/>
      <c r="L339" s="139"/>
      <c r="M339" s="139"/>
      <c r="N339" s="139"/>
      <c r="O339" s="139"/>
      <c r="P339" s="139"/>
      <c r="Q339" s="139"/>
      <c r="R339" s="139"/>
      <c r="S339" s="139"/>
      <c r="T339" s="139"/>
      <c r="U339" s="139"/>
      <c r="V339" s="139"/>
      <c r="W339" s="139"/>
      <c r="X339" s="139"/>
      <c r="Y339" s="139"/>
      <c r="Z339" s="139"/>
    </row>
    <row r="340" spans="1:26" s="291" customFormat="1">
      <c r="A340" s="136"/>
      <c r="B340" s="136"/>
      <c r="C340" s="136"/>
      <c r="D340" s="136"/>
      <c r="E340" s="139"/>
      <c r="F340" s="139"/>
      <c r="G340" s="139"/>
      <c r="H340" s="139"/>
      <c r="I340" s="139"/>
      <c r="J340" s="139"/>
      <c r="K340" s="139"/>
      <c r="L340" s="139"/>
      <c r="M340" s="139"/>
      <c r="N340" s="139"/>
      <c r="O340" s="139"/>
      <c r="P340" s="139"/>
      <c r="Q340" s="139"/>
      <c r="R340" s="139"/>
      <c r="S340" s="139"/>
      <c r="T340" s="139"/>
      <c r="U340" s="139"/>
      <c r="V340" s="139"/>
      <c r="W340" s="139"/>
      <c r="X340" s="139"/>
      <c r="Y340" s="139"/>
      <c r="Z340" s="139"/>
    </row>
    <row r="341" spans="1:26" s="291" customFormat="1">
      <c r="A341" s="136"/>
      <c r="B341" s="136"/>
      <c r="C341" s="136"/>
      <c r="D341" s="136"/>
      <c r="E341" s="139"/>
      <c r="F341" s="139"/>
      <c r="G341" s="139"/>
      <c r="H341" s="139"/>
      <c r="I341" s="139"/>
      <c r="J341" s="139"/>
      <c r="K341" s="139"/>
      <c r="L341" s="139"/>
      <c r="M341" s="139"/>
      <c r="N341" s="139"/>
      <c r="O341" s="139"/>
      <c r="P341" s="139"/>
      <c r="Q341" s="139"/>
      <c r="R341" s="139"/>
      <c r="S341" s="139"/>
      <c r="T341" s="139"/>
      <c r="U341" s="139"/>
      <c r="V341" s="139"/>
      <c r="W341" s="139"/>
      <c r="X341" s="139"/>
      <c r="Y341" s="139"/>
      <c r="Z341" s="139"/>
    </row>
    <row r="342" spans="1:26" s="291" customFormat="1">
      <c r="A342" s="139"/>
      <c r="B342" s="139"/>
      <c r="C342" s="139"/>
      <c r="D342" s="156"/>
      <c r="E342" s="139"/>
      <c r="F342" s="139"/>
      <c r="G342" s="139"/>
      <c r="H342" s="139"/>
      <c r="I342" s="139"/>
      <c r="J342" s="139"/>
      <c r="K342" s="139"/>
      <c r="L342" s="139"/>
      <c r="M342" s="139"/>
      <c r="N342" s="139"/>
      <c r="O342" s="139"/>
      <c r="P342" s="139"/>
      <c r="Q342" s="139"/>
      <c r="R342" s="139"/>
      <c r="S342" s="139"/>
      <c r="T342" s="139"/>
      <c r="U342" s="139"/>
      <c r="V342" s="139"/>
      <c r="W342" s="139"/>
      <c r="X342" s="139"/>
      <c r="Y342" s="139"/>
      <c r="Z342" s="139"/>
    </row>
    <row r="343" spans="1:26" s="291" customFormat="1">
      <c r="A343" s="139"/>
      <c r="B343" s="139"/>
      <c r="C343" s="139"/>
      <c r="D343" s="156"/>
      <c r="E343" s="139"/>
      <c r="F343" s="139"/>
      <c r="G343" s="139"/>
      <c r="H343" s="139"/>
      <c r="I343" s="139"/>
      <c r="J343" s="139"/>
      <c r="K343" s="139"/>
      <c r="L343" s="139"/>
      <c r="M343" s="139"/>
      <c r="N343" s="139"/>
      <c r="O343" s="139"/>
      <c r="P343" s="139"/>
      <c r="Q343" s="139"/>
      <c r="R343" s="139"/>
      <c r="S343" s="139"/>
      <c r="T343" s="139"/>
      <c r="U343" s="139"/>
      <c r="V343" s="139"/>
      <c r="W343" s="139"/>
      <c r="X343" s="139"/>
      <c r="Y343" s="139"/>
      <c r="Z343" s="139"/>
    </row>
    <row r="344" spans="1:26" s="291" customFormat="1">
      <c r="A344" s="139"/>
      <c r="B344" s="139"/>
      <c r="C344" s="139"/>
      <c r="D344" s="156"/>
      <c r="E344" s="139"/>
      <c r="F344" s="139"/>
      <c r="G344" s="139"/>
      <c r="H344" s="139"/>
      <c r="I344" s="139"/>
      <c r="J344" s="139"/>
      <c r="K344" s="139"/>
      <c r="L344" s="139"/>
      <c r="M344" s="139"/>
      <c r="N344" s="139"/>
      <c r="O344" s="139"/>
      <c r="P344" s="139"/>
      <c r="Q344" s="139"/>
      <c r="R344" s="139"/>
      <c r="S344" s="139"/>
      <c r="T344" s="139"/>
      <c r="U344" s="139"/>
      <c r="V344" s="139"/>
      <c r="W344" s="139"/>
      <c r="X344" s="139"/>
      <c r="Y344" s="139"/>
      <c r="Z344" s="139"/>
    </row>
    <row r="345" spans="1:26" s="291" customFormat="1">
      <c r="A345" s="139"/>
      <c r="B345" s="139"/>
      <c r="C345" s="139"/>
      <c r="D345" s="156"/>
      <c r="E345" s="139"/>
      <c r="F345" s="139"/>
      <c r="G345" s="139"/>
      <c r="H345" s="139"/>
      <c r="I345" s="139"/>
      <c r="J345" s="139"/>
      <c r="K345" s="139"/>
      <c r="L345" s="139"/>
      <c r="M345" s="139"/>
      <c r="N345" s="139"/>
      <c r="O345" s="139"/>
      <c r="P345" s="139"/>
      <c r="Q345" s="139"/>
      <c r="R345" s="139"/>
      <c r="S345" s="139"/>
      <c r="T345" s="139"/>
      <c r="U345" s="139"/>
      <c r="V345" s="139"/>
      <c r="W345" s="139"/>
      <c r="X345" s="139"/>
      <c r="Y345" s="139"/>
      <c r="Z345" s="139"/>
    </row>
    <row r="346" spans="1:26" s="291" customFormat="1">
      <c r="A346" s="139"/>
      <c r="B346" s="139"/>
      <c r="C346" s="139"/>
      <c r="D346" s="156"/>
      <c r="E346" s="139"/>
      <c r="F346" s="139"/>
      <c r="G346" s="139"/>
      <c r="H346" s="139"/>
      <c r="I346" s="139"/>
      <c r="J346" s="139"/>
      <c r="K346" s="139"/>
      <c r="L346" s="139"/>
      <c r="M346" s="139"/>
      <c r="N346" s="139"/>
      <c r="O346" s="139"/>
      <c r="P346" s="139"/>
      <c r="Q346" s="139"/>
      <c r="R346" s="139"/>
      <c r="S346" s="139"/>
      <c r="T346" s="139"/>
      <c r="U346" s="139"/>
      <c r="V346" s="139"/>
      <c r="W346" s="139"/>
      <c r="X346" s="139"/>
      <c r="Y346" s="139"/>
      <c r="Z346" s="139"/>
    </row>
    <row r="347" spans="1:26" s="291" customFormat="1">
      <c r="A347" s="139"/>
      <c r="B347" s="139"/>
      <c r="C347" s="139"/>
      <c r="D347" s="156"/>
      <c r="E347" s="139"/>
      <c r="F347" s="139"/>
      <c r="G347" s="139"/>
      <c r="H347" s="139"/>
      <c r="I347" s="139"/>
      <c r="J347" s="139"/>
      <c r="K347" s="139"/>
      <c r="L347" s="139"/>
      <c r="M347" s="139"/>
      <c r="N347" s="139"/>
      <c r="O347" s="139"/>
      <c r="P347" s="139"/>
      <c r="Q347" s="139"/>
      <c r="R347" s="139"/>
      <c r="S347" s="139"/>
      <c r="T347" s="139"/>
      <c r="U347" s="139"/>
      <c r="V347" s="139"/>
      <c r="W347" s="139"/>
      <c r="X347" s="139"/>
      <c r="Y347" s="139"/>
      <c r="Z347" s="139"/>
    </row>
    <row r="348" spans="1:26" s="302" customFormat="1">
      <c r="A348" s="139"/>
      <c r="B348" s="139"/>
      <c r="C348" s="139"/>
      <c r="D348" s="156"/>
      <c r="E348" s="139"/>
      <c r="F348" s="139"/>
      <c r="G348" s="139"/>
      <c r="H348" s="139"/>
      <c r="I348" s="139"/>
      <c r="J348" s="139"/>
      <c r="K348" s="139"/>
      <c r="L348" s="139"/>
      <c r="M348" s="139"/>
      <c r="N348" s="139"/>
      <c r="O348" s="139"/>
      <c r="P348" s="139"/>
      <c r="Q348" s="139"/>
      <c r="R348" s="139"/>
      <c r="S348" s="139"/>
      <c r="T348" s="139"/>
      <c r="U348" s="139"/>
      <c r="V348" s="139"/>
      <c r="W348" s="139"/>
      <c r="X348" s="139"/>
      <c r="Y348" s="139"/>
      <c r="Z348" s="139"/>
    </row>
    <row r="349" spans="1:26" s="291" customFormat="1">
      <c r="A349" s="139"/>
      <c r="B349" s="139"/>
      <c r="C349" s="139"/>
      <c r="D349" s="156"/>
      <c r="E349" s="139"/>
      <c r="F349" s="139"/>
      <c r="G349" s="139"/>
      <c r="H349" s="139"/>
      <c r="I349" s="139"/>
      <c r="J349" s="139"/>
      <c r="K349" s="139"/>
      <c r="L349" s="139"/>
      <c r="M349" s="139"/>
      <c r="N349" s="139"/>
      <c r="O349" s="139"/>
      <c r="P349" s="139"/>
      <c r="Q349" s="139"/>
      <c r="R349" s="139"/>
      <c r="S349" s="139"/>
      <c r="T349" s="139"/>
      <c r="U349" s="139"/>
      <c r="V349" s="139"/>
      <c r="W349" s="139"/>
      <c r="X349" s="139"/>
      <c r="Y349" s="139"/>
      <c r="Z349" s="139"/>
    </row>
    <row r="350" spans="1:26" s="310" customFormat="1">
      <c r="A350" s="139"/>
      <c r="B350" s="139"/>
      <c r="C350" s="139"/>
      <c r="D350" s="156"/>
      <c r="E350" s="139"/>
      <c r="F350" s="139"/>
      <c r="G350" s="139"/>
      <c r="H350" s="139"/>
      <c r="I350" s="139"/>
      <c r="J350" s="139"/>
      <c r="K350" s="139"/>
      <c r="L350" s="139"/>
      <c r="M350" s="139"/>
      <c r="N350" s="139"/>
      <c r="O350" s="139"/>
      <c r="P350" s="139"/>
      <c r="Q350" s="139"/>
      <c r="R350" s="139"/>
      <c r="S350" s="139"/>
      <c r="T350" s="139"/>
      <c r="U350" s="139"/>
      <c r="V350" s="139"/>
      <c r="W350" s="139"/>
      <c r="X350" s="139"/>
      <c r="Y350" s="139"/>
      <c r="Z350" s="139"/>
    </row>
    <row r="351" spans="1:26" s="317" customFormat="1">
      <c r="A351" s="139"/>
      <c r="B351" s="139"/>
      <c r="C351" s="139"/>
      <c r="D351" s="156"/>
      <c r="E351" s="139"/>
      <c r="F351" s="139"/>
      <c r="G351" s="139"/>
      <c r="H351" s="139"/>
      <c r="I351" s="139"/>
      <c r="J351" s="139"/>
      <c r="K351" s="139"/>
      <c r="L351" s="139"/>
      <c r="M351" s="139"/>
      <c r="N351" s="139"/>
      <c r="O351" s="139"/>
      <c r="P351" s="139"/>
      <c r="Q351" s="139"/>
      <c r="R351" s="139"/>
      <c r="S351" s="139"/>
      <c r="T351" s="139"/>
      <c r="U351" s="139"/>
      <c r="V351" s="139"/>
      <c r="W351" s="139"/>
      <c r="X351" s="139"/>
      <c r="Y351" s="139"/>
      <c r="Z351" s="139"/>
    </row>
    <row r="352" spans="1:26" s="302" customFormat="1">
      <c r="A352" s="139"/>
      <c r="B352" s="139"/>
      <c r="C352" s="139"/>
      <c r="D352" s="156"/>
      <c r="E352" s="139"/>
      <c r="F352" s="139"/>
      <c r="G352" s="139"/>
      <c r="H352" s="139"/>
      <c r="I352" s="139"/>
      <c r="J352" s="139"/>
      <c r="K352" s="139"/>
      <c r="L352" s="139"/>
      <c r="M352" s="139"/>
      <c r="N352" s="139"/>
      <c r="O352" s="139"/>
      <c r="P352" s="139"/>
      <c r="Q352" s="139"/>
      <c r="R352" s="139"/>
      <c r="S352" s="139"/>
      <c r="T352" s="139"/>
      <c r="U352" s="139"/>
      <c r="V352" s="139"/>
      <c r="W352" s="139"/>
      <c r="X352" s="139"/>
      <c r="Y352" s="139"/>
      <c r="Z352" s="139"/>
    </row>
    <row r="353" spans="1:26" s="291" customFormat="1">
      <c r="A353" s="139"/>
      <c r="B353" s="139"/>
      <c r="C353" s="139"/>
      <c r="D353" s="156"/>
      <c r="E353" s="139"/>
      <c r="F353" s="139"/>
      <c r="G353" s="139"/>
      <c r="H353" s="139"/>
      <c r="I353" s="139"/>
      <c r="J353" s="139"/>
      <c r="K353" s="139"/>
      <c r="L353" s="139"/>
      <c r="M353" s="139"/>
      <c r="N353" s="139"/>
      <c r="O353" s="139"/>
      <c r="P353" s="139"/>
      <c r="Q353" s="139"/>
      <c r="R353" s="139"/>
      <c r="S353" s="139"/>
      <c r="T353" s="139"/>
      <c r="U353" s="139"/>
      <c r="V353" s="139"/>
      <c r="W353" s="139"/>
      <c r="X353" s="139"/>
      <c r="Y353" s="139"/>
      <c r="Z353" s="139"/>
    </row>
    <row r="354" spans="1:26" s="325" customFormat="1">
      <c r="A354" s="139"/>
      <c r="B354" s="139"/>
      <c r="C354" s="139"/>
      <c r="D354" s="156"/>
      <c r="E354" s="139"/>
      <c r="F354" s="139"/>
      <c r="G354" s="139"/>
      <c r="H354" s="139"/>
      <c r="I354" s="139"/>
      <c r="J354" s="139"/>
      <c r="K354" s="139"/>
      <c r="L354" s="139"/>
      <c r="M354" s="139"/>
      <c r="N354" s="139"/>
      <c r="O354" s="139"/>
      <c r="P354" s="139"/>
      <c r="Q354" s="139"/>
      <c r="R354" s="139"/>
      <c r="S354" s="139"/>
      <c r="T354" s="139"/>
      <c r="U354" s="139"/>
      <c r="V354" s="139"/>
      <c r="W354" s="139"/>
      <c r="X354" s="139"/>
      <c r="Y354" s="139"/>
      <c r="Z354" s="139"/>
    </row>
    <row r="355" spans="1:26" s="291" customFormat="1">
      <c r="A355" s="139"/>
      <c r="B355" s="139"/>
      <c r="C355" s="139"/>
      <c r="D355" s="156"/>
      <c r="E355" s="139"/>
      <c r="F355" s="139"/>
      <c r="G355" s="139"/>
      <c r="H355" s="139"/>
      <c r="I355" s="139"/>
      <c r="J355" s="139"/>
      <c r="K355" s="139"/>
      <c r="L355" s="139"/>
      <c r="M355" s="139"/>
      <c r="N355" s="139"/>
      <c r="O355" s="139"/>
      <c r="P355" s="139"/>
      <c r="Q355" s="139"/>
      <c r="R355" s="139"/>
      <c r="S355" s="139"/>
      <c r="T355" s="139"/>
      <c r="U355" s="139"/>
      <c r="V355" s="139"/>
      <c r="W355" s="139"/>
      <c r="X355" s="139"/>
      <c r="Y355" s="139"/>
      <c r="Z355" s="139"/>
    </row>
    <row r="356" spans="1:26" s="143" customFormat="1">
      <c r="A356" s="139"/>
      <c r="B356" s="139"/>
      <c r="C356" s="139"/>
      <c r="D356" s="156"/>
      <c r="E356" s="139"/>
      <c r="F356" s="139"/>
      <c r="G356" s="139"/>
      <c r="H356" s="139"/>
      <c r="I356" s="139"/>
      <c r="J356" s="139"/>
      <c r="K356" s="139"/>
      <c r="L356" s="139"/>
      <c r="M356" s="139"/>
      <c r="N356" s="139"/>
      <c r="O356" s="139"/>
      <c r="P356" s="139"/>
      <c r="Q356" s="139"/>
      <c r="R356" s="139"/>
      <c r="S356" s="139"/>
      <c r="T356" s="139"/>
      <c r="U356" s="139"/>
      <c r="V356" s="139"/>
      <c r="W356" s="139"/>
      <c r="X356" s="139"/>
      <c r="Y356" s="139"/>
      <c r="Z356" s="139"/>
    </row>
    <row r="357" spans="1:26" s="143" customFormat="1">
      <c r="A357" s="139"/>
      <c r="B357" s="139"/>
      <c r="C357" s="139"/>
      <c r="D357" s="267"/>
      <c r="E357" s="139"/>
      <c r="F357" s="139"/>
      <c r="G357" s="139"/>
      <c r="H357" s="139"/>
      <c r="I357" s="139"/>
      <c r="J357" s="139"/>
      <c r="K357" s="139"/>
      <c r="L357" s="139"/>
      <c r="M357" s="139"/>
      <c r="N357" s="139"/>
      <c r="O357" s="139"/>
      <c r="P357" s="139"/>
      <c r="Q357" s="139"/>
      <c r="R357" s="139"/>
      <c r="S357" s="139"/>
      <c r="T357" s="139"/>
      <c r="U357" s="139"/>
      <c r="V357" s="139"/>
      <c r="W357" s="139"/>
      <c r="X357" s="139"/>
      <c r="Y357" s="139"/>
      <c r="Z357" s="139"/>
    </row>
    <row r="358" spans="1:26" s="143" customFormat="1">
      <c r="A358" s="139"/>
      <c r="B358" s="139"/>
      <c r="C358" s="139"/>
      <c r="D358" s="267"/>
      <c r="E358" s="139"/>
      <c r="F358" s="139"/>
      <c r="G358" s="139"/>
      <c r="H358" s="139"/>
      <c r="I358" s="139"/>
      <c r="J358" s="139"/>
      <c r="K358" s="139"/>
      <c r="L358" s="139"/>
      <c r="M358" s="139"/>
      <c r="N358" s="139"/>
      <c r="O358" s="139"/>
      <c r="P358" s="139"/>
      <c r="Q358" s="139"/>
      <c r="R358" s="139"/>
      <c r="S358" s="139"/>
      <c r="T358" s="139"/>
      <c r="U358" s="139"/>
      <c r="V358" s="139"/>
      <c r="W358" s="139"/>
      <c r="X358" s="139"/>
      <c r="Y358" s="139"/>
      <c r="Z358" s="139"/>
    </row>
    <row r="359" spans="1:26">
      <c r="D359" s="156"/>
    </row>
    <row r="360" spans="1:26">
      <c r="D360" s="156"/>
    </row>
    <row r="361" spans="1:26">
      <c r="D361" s="156"/>
    </row>
    <row r="362" spans="1:26">
      <c r="D362" s="156"/>
    </row>
    <row r="363" spans="1:26">
      <c r="D363" s="156"/>
    </row>
    <row r="364" spans="1:26">
      <c r="A364" s="136"/>
      <c r="B364" s="136"/>
      <c r="C364" s="136"/>
      <c r="D364" s="136"/>
    </row>
    <row r="365" spans="1:26">
      <c r="A365" s="136"/>
      <c r="B365" s="136"/>
      <c r="C365" s="136"/>
      <c r="D365" s="136"/>
    </row>
    <row r="366" spans="1:26">
      <c r="A366" s="136"/>
      <c r="B366" s="136"/>
      <c r="C366" s="136"/>
      <c r="D366" s="136"/>
    </row>
    <row r="367" spans="1:26">
      <c r="A367" s="136"/>
      <c r="B367" s="136"/>
      <c r="C367" s="136"/>
      <c r="D367" s="136"/>
    </row>
    <row r="368" spans="1:26">
      <c r="A368" s="136"/>
      <c r="B368" s="136"/>
      <c r="C368" s="136"/>
      <c r="D368" s="136"/>
    </row>
    <row r="369" spans="1:26">
      <c r="A369" s="136"/>
      <c r="B369" s="136"/>
      <c r="C369" s="136"/>
      <c r="D369" s="136"/>
    </row>
    <row r="370" spans="1:26">
      <c r="A370" s="136"/>
      <c r="B370" s="136"/>
      <c r="C370" s="136"/>
      <c r="D370" s="136"/>
    </row>
    <row r="371" spans="1:26">
      <c r="A371" s="136"/>
      <c r="B371" s="136"/>
      <c r="C371" s="136"/>
      <c r="D371" s="136"/>
    </row>
    <row r="372" spans="1:26">
      <c r="A372" s="136"/>
      <c r="B372" s="136"/>
      <c r="C372" s="136"/>
      <c r="D372" s="136"/>
    </row>
    <row r="375" spans="1:26">
      <c r="A375" s="136"/>
      <c r="B375" s="136"/>
      <c r="C375" s="136"/>
      <c r="D375" s="136"/>
    </row>
    <row r="376" spans="1:26">
      <c r="D376" s="156"/>
    </row>
    <row r="377" spans="1:26">
      <c r="A377" s="143"/>
      <c r="B377" s="143"/>
      <c r="C377" s="143"/>
      <c r="D377" s="147"/>
      <c r="E377" s="143"/>
      <c r="F377" s="143"/>
      <c r="G377" s="143"/>
      <c r="H377" s="143"/>
      <c r="I377" s="143"/>
      <c r="J377" s="143"/>
      <c r="K377" s="143"/>
      <c r="L377" s="143"/>
      <c r="M377" s="143"/>
      <c r="N377" s="143"/>
      <c r="O377" s="143"/>
      <c r="P377" s="143"/>
      <c r="Q377" s="143"/>
      <c r="R377" s="143"/>
      <c r="S377" s="143"/>
      <c r="T377" s="143"/>
      <c r="U377" s="143"/>
      <c r="V377" s="143"/>
      <c r="W377" s="143"/>
      <c r="X377" s="143"/>
      <c r="Y377" s="143"/>
      <c r="Z377" s="143"/>
    </row>
    <row r="378" spans="1:26">
      <c r="A378" s="143"/>
      <c r="B378" s="143"/>
      <c r="C378" s="143"/>
      <c r="D378" s="147"/>
      <c r="E378" s="143"/>
      <c r="F378" s="143"/>
      <c r="G378" s="143"/>
      <c r="H378" s="143"/>
      <c r="I378" s="143"/>
      <c r="J378" s="143"/>
      <c r="K378" s="143"/>
      <c r="L378" s="143"/>
      <c r="M378" s="143"/>
      <c r="N378" s="143"/>
      <c r="O378" s="143"/>
      <c r="P378" s="143"/>
      <c r="Q378" s="143"/>
      <c r="R378" s="143"/>
      <c r="S378" s="143"/>
      <c r="T378" s="143"/>
      <c r="U378" s="143"/>
      <c r="V378" s="143"/>
      <c r="W378" s="143"/>
      <c r="X378" s="143"/>
      <c r="Y378" s="143"/>
      <c r="Z378" s="143"/>
    </row>
    <row r="379" spans="1:26">
      <c r="A379" s="143"/>
      <c r="B379" s="143"/>
      <c r="C379" s="143"/>
      <c r="D379" s="147"/>
      <c r="E379" s="143"/>
      <c r="F379" s="143"/>
      <c r="G379" s="143"/>
      <c r="H379" s="143"/>
      <c r="I379" s="143"/>
      <c r="J379" s="143"/>
      <c r="K379" s="143"/>
      <c r="L379" s="143"/>
      <c r="M379" s="143"/>
      <c r="N379" s="143"/>
      <c r="O379" s="143"/>
      <c r="P379" s="143"/>
      <c r="Q379" s="143"/>
      <c r="R379" s="143"/>
      <c r="S379" s="143"/>
      <c r="T379" s="143"/>
      <c r="U379" s="143"/>
      <c r="V379" s="143"/>
      <c r="W379" s="143"/>
      <c r="X379" s="143"/>
      <c r="Y379" s="143"/>
      <c r="Z379" s="143"/>
    </row>
    <row r="380" spans="1:26">
      <c r="A380" s="143"/>
      <c r="B380" s="143"/>
      <c r="C380" s="143"/>
      <c r="D380" s="147"/>
      <c r="E380" s="143"/>
      <c r="F380" s="143"/>
      <c r="G380" s="143"/>
      <c r="H380" s="143"/>
      <c r="I380" s="143"/>
      <c r="J380" s="143"/>
      <c r="K380" s="143"/>
      <c r="L380" s="143"/>
      <c r="M380" s="143"/>
      <c r="N380" s="143"/>
      <c r="O380" s="143"/>
      <c r="P380" s="143"/>
      <c r="Q380" s="143"/>
      <c r="R380" s="143"/>
      <c r="S380" s="143"/>
      <c r="T380" s="143"/>
      <c r="U380" s="143"/>
      <c r="V380" s="143"/>
      <c r="W380" s="143"/>
      <c r="X380" s="143"/>
      <c r="Y380" s="143"/>
      <c r="Z380" s="143"/>
    </row>
    <row r="381" spans="1:26">
      <c r="A381" s="143"/>
      <c r="B381" s="143"/>
      <c r="C381" s="143"/>
      <c r="D381" s="147"/>
      <c r="E381" s="143"/>
      <c r="F381" s="143"/>
      <c r="G381" s="143"/>
      <c r="H381" s="143"/>
      <c r="I381" s="143"/>
      <c r="J381" s="143"/>
      <c r="K381" s="143"/>
      <c r="L381" s="143"/>
      <c r="M381" s="143"/>
      <c r="N381" s="143"/>
      <c r="O381" s="143"/>
      <c r="P381" s="143"/>
      <c r="Q381" s="143"/>
      <c r="R381" s="143"/>
      <c r="S381" s="143"/>
      <c r="T381" s="143"/>
      <c r="U381" s="143"/>
      <c r="V381" s="143"/>
      <c r="W381" s="143"/>
      <c r="X381" s="143"/>
      <c r="Y381" s="143"/>
      <c r="Z381" s="143"/>
    </row>
    <row r="382" spans="1:26">
      <c r="A382" s="143"/>
      <c r="B382" s="143"/>
      <c r="C382" s="143"/>
      <c r="D382" s="147"/>
      <c r="E382" s="143"/>
      <c r="F382" s="143"/>
      <c r="G382" s="143"/>
      <c r="H382" s="143"/>
      <c r="I382" s="143"/>
      <c r="J382" s="143"/>
      <c r="K382" s="143"/>
      <c r="L382" s="143"/>
      <c r="M382" s="143"/>
      <c r="N382" s="143"/>
      <c r="O382" s="143"/>
      <c r="P382" s="143"/>
      <c r="Q382" s="143"/>
      <c r="R382" s="143"/>
      <c r="S382" s="143"/>
      <c r="T382" s="143"/>
      <c r="U382" s="143"/>
      <c r="V382" s="143"/>
      <c r="W382" s="143"/>
      <c r="X382" s="143"/>
      <c r="Y382" s="143"/>
      <c r="Z382" s="143"/>
    </row>
    <row r="383" spans="1:26">
      <c r="A383" s="143"/>
      <c r="B383" s="143"/>
      <c r="C383" s="143"/>
      <c r="D383" s="147"/>
      <c r="E383" s="143"/>
      <c r="F383" s="143"/>
      <c r="G383" s="143"/>
      <c r="H383" s="143"/>
      <c r="I383" s="143"/>
      <c r="J383" s="143"/>
      <c r="K383" s="143"/>
      <c r="L383" s="143"/>
      <c r="M383" s="143"/>
      <c r="N383" s="143"/>
      <c r="O383" s="143"/>
      <c r="P383" s="143"/>
      <c r="Q383" s="143"/>
      <c r="R383" s="143"/>
      <c r="S383" s="143"/>
      <c r="T383" s="143"/>
      <c r="U383" s="143"/>
      <c r="V383" s="143"/>
      <c r="W383" s="143"/>
      <c r="X383" s="143"/>
      <c r="Y383" s="143"/>
      <c r="Z383" s="143"/>
    </row>
    <row r="384" spans="1:26">
      <c r="A384" s="143"/>
      <c r="B384" s="143"/>
      <c r="C384" s="143"/>
      <c r="D384" s="151"/>
      <c r="E384" s="143"/>
      <c r="F384" s="143"/>
      <c r="G384" s="143"/>
      <c r="H384" s="143"/>
      <c r="I384" s="143"/>
      <c r="J384" s="143"/>
      <c r="K384" s="143"/>
      <c r="L384" s="143"/>
      <c r="M384" s="143"/>
      <c r="N384" s="143"/>
      <c r="O384" s="143"/>
      <c r="P384" s="143"/>
      <c r="Q384" s="143"/>
      <c r="R384" s="143"/>
      <c r="S384" s="143"/>
      <c r="T384" s="143"/>
      <c r="U384" s="143"/>
      <c r="V384" s="143"/>
      <c r="W384" s="143"/>
      <c r="X384" s="143"/>
      <c r="Y384" s="143"/>
      <c r="Z384" s="143"/>
    </row>
    <row r="385" spans="1:26">
      <c r="D385" s="156"/>
    </row>
    <row r="386" spans="1:26">
      <c r="D386" s="156"/>
    </row>
    <row r="387" spans="1:26">
      <c r="D387" s="156"/>
    </row>
    <row r="388" spans="1:26">
      <c r="D388" s="156"/>
    </row>
    <row r="389" spans="1:26" s="194" customFormat="1" ht="13.2">
      <c r="A389" s="139"/>
      <c r="B389" s="139"/>
      <c r="C389" s="139"/>
      <c r="D389" s="156"/>
      <c r="E389" s="139"/>
      <c r="F389" s="139"/>
      <c r="G389" s="139"/>
      <c r="H389" s="139"/>
      <c r="I389" s="139"/>
      <c r="J389" s="139"/>
      <c r="K389" s="139"/>
      <c r="L389" s="139"/>
      <c r="M389" s="139"/>
      <c r="N389" s="139"/>
      <c r="O389" s="139"/>
      <c r="P389" s="139"/>
      <c r="Q389" s="139"/>
      <c r="R389" s="139"/>
      <c r="S389" s="139"/>
      <c r="T389" s="139"/>
      <c r="U389" s="139"/>
      <c r="V389" s="139"/>
      <c r="W389" s="139"/>
      <c r="X389" s="139"/>
      <c r="Y389" s="139"/>
      <c r="Z389" s="139"/>
    </row>
    <row r="390" spans="1:26" s="335" customFormat="1" ht="13.2">
      <c r="A390" s="139"/>
      <c r="B390" s="139"/>
      <c r="C390" s="139"/>
      <c r="D390" s="156"/>
      <c r="E390" s="139"/>
      <c r="F390" s="139"/>
      <c r="G390" s="139"/>
      <c r="H390" s="139"/>
      <c r="I390" s="139"/>
      <c r="J390" s="139"/>
      <c r="K390" s="139"/>
      <c r="L390" s="139"/>
      <c r="M390" s="139"/>
      <c r="N390" s="139"/>
      <c r="O390" s="139"/>
      <c r="P390" s="139"/>
      <c r="Q390" s="139"/>
      <c r="R390" s="139"/>
      <c r="S390" s="139"/>
      <c r="T390" s="139"/>
      <c r="U390" s="139"/>
      <c r="V390" s="139"/>
      <c r="W390" s="139"/>
      <c r="X390" s="139"/>
      <c r="Y390" s="139"/>
      <c r="Z390" s="139"/>
    </row>
    <row r="391" spans="1:26" s="335" customFormat="1" ht="13.2">
      <c r="A391" s="139"/>
      <c r="B391" s="139"/>
      <c r="C391" s="139"/>
      <c r="D391" s="156"/>
      <c r="E391" s="139"/>
      <c r="F391" s="139"/>
      <c r="G391" s="139"/>
      <c r="H391" s="139"/>
      <c r="I391" s="139"/>
      <c r="J391" s="139"/>
      <c r="K391" s="139"/>
      <c r="L391" s="139"/>
      <c r="M391" s="139"/>
      <c r="N391" s="139"/>
      <c r="O391" s="139"/>
      <c r="P391" s="139"/>
      <c r="Q391" s="139"/>
      <c r="R391" s="139"/>
      <c r="S391" s="139"/>
      <c r="T391" s="139"/>
      <c r="U391" s="139"/>
      <c r="V391" s="139"/>
      <c r="W391" s="139"/>
      <c r="X391" s="139"/>
      <c r="Y391" s="139"/>
      <c r="Z391" s="139"/>
    </row>
    <row r="392" spans="1:26" s="335" customFormat="1" ht="13.2">
      <c r="A392" s="139"/>
      <c r="B392" s="139"/>
      <c r="C392" s="139"/>
      <c r="D392" s="156"/>
      <c r="E392" s="139"/>
      <c r="F392" s="139"/>
      <c r="G392" s="139"/>
      <c r="H392" s="139"/>
      <c r="I392" s="139"/>
      <c r="J392" s="139"/>
      <c r="K392" s="139"/>
      <c r="L392" s="139"/>
      <c r="M392" s="139"/>
      <c r="N392" s="139"/>
      <c r="O392" s="139"/>
      <c r="P392" s="139"/>
      <c r="Q392" s="139"/>
      <c r="R392" s="139"/>
      <c r="S392" s="139"/>
      <c r="T392" s="139"/>
      <c r="U392" s="139"/>
      <c r="V392" s="139"/>
      <c r="W392" s="139"/>
      <c r="X392" s="139"/>
      <c r="Y392" s="139"/>
      <c r="Z392" s="139"/>
    </row>
    <row r="393" spans="1:26" s="335" customFormat="1" ht="13.2">
      <c r="A393" s="139"/>
      <c r="B393" s="139"/>
      <c r="C393" s="139"/>
      <c r="D393" s="156"/>
      <c r="E393" s="139"/>
      <c r="F393" s="139"/>
      <c r="G393" s="139"/>
      <c r="H393" s="139"/>
      <c r="I393" s="139"/>
      <c r="J393" s="139"/>
      <c r="K393" s="139"/>
      <c r="L393" s="139"/>
      <c r="M393" s="139"/>
      <c r="N393" s="139"/>
      <c r="O393" s="139"/>
      <c r="P393" s="139"/>
      <c r="Q393" s="139"/>
      <c r="R393" s="139"/>
      <c r="S393" s="139"/>
      <c r="T393" s="139"/>
      <c r="U393" s="139"/>
      <c r="V393" s="139"/>
      <c r="W393" s="139"/>
      <c r="X393" s="139"/>
      <c r="Y393" s="139"/>
      <c r="Z393" s="139"/>
    </row>
    <row r="394" spans="1:26" s="335" customFormat="1" ht="13.2">
      <c r="A394" s="139"/>
      <c r="B394" s="139"/>
      <c r="C394" s="139"/>
      <c r="D394" s="156"/>
      <c r="E394" s="139"/>
      <c r="F394" s="139"/>
      <c r="G394" s="139"/>
      <c r="H394" s="139"/>
      <c r="I394" s="139"/>
      <c r="J394" s="139"/>
      <c r="K394" s="139"/>
      <c r="L394" s="139"/>
      <c r="M394" s="139"/>
      <c r="N394" s="139"/>
      <c r="O394" s="139"/>
      <c r="P394" s="139"/>
      <c r="Q394" s="139"/>
      <c r="R394" s="139"/>
      <c r="S394" s="139"/>
      <c r="T394" s="139"/>
      <c r="U394" s="139"/>
      <c r="V394" s="139"/>
      <c r="W394" s="139"/>
      <c r="X394" s="139"/>
      <c r="Y394" s="139"/>
      <c r="Z394" s="139"/>
    </row>
    <row r="395" spans="1:26" s="291" customFormat="1">
      <c r="A395" s="139"/>
      <c r="B395" s="139"/>
      <c r="C395" s="139"/>
      <c r="D395" s="156"/>
      <c r="E395" s="139"/>
      <c r="F395" s="139"/>
      <c r="G395" s="139"/>
      <c r="H395" s="139"/>
      <c r="I395" s="139"/>
      <c r="J395" s="139"/>
      <c r="K395" s="139"/>
      <c r="L395" s="139"/>
      <c r="M395" s="139"/>
      <c r="N395" s="139"/>
      <c r="O395" s="139"/>
      <c r="P395" s="139"/>
      <c r="Q395" s="139"/>
      <c r="R395" s="139"/>
      <c r="S395" s="139"/>
      <c r="T395" s="139"/>
      <c r="U395" s="139"/>
      <c r="V395" s="139"/>
      <c r="W395" s="139"/>
      <c r="X395" s="139"/>
      <c r="Y395" s="139"/>
      <c r="Z395" s="139"/>
    </row>
    <row r="396" spans="1:26" s="291" customFormat="1">
      <c r="A396" s="139"/>
      <c r="B396" s="139"/>
      <c r="C396" s="139"/>
      <c r="D396" s="156"/>
      <c r="E396" s="139"/>
      <c r="F396" s="139"/>
      <c r="G396" s="139"/>
      <c r="H396" s="139"/>
      <c r="I396" s="139"/>
      <c r="J396" s="139"/>
      <c r="K396" s="139"/>
      <c r="L396" s="139"/>
      <c r="M396" s="139"/>
      <c r="N396" s="139"/>
      <c r="O396" s="139"/>
      <c r="P396" s="139"/>
      <c r="Q396" s="139"/>
      <c r="R396" s="139"/>
      <c r="S396" s="139"/>
      <c r="T396" s="139"/>
      <c r="U396" s="139"/>
      <c r="V396" s="139"/>
      <c r="W396" s="139"/>
      <c r="X396" s="139"/>
      <c r="Y396" s="139"/>
      <c r="Z396" s="139"/>
    </row>
    <row r="397" spans="1:26" s="291" customFormat="1">
      <c r="A397" s="139"/>
      <c r="B397" s="139"/>
      <c r="C397" s="139"/>
      <c r="D397" s="156"/>
      <c r="E397" s="139"/>
      <c r="F397" s="139"/>
      <c r="G397" s="139"/>
      <c r="H397" s="139"/>
      <c r="I397" s="139"/>
      <c r="J397" s="139"/>
      <c r="K397" s="139"/>
      <c r="L397" s="139"/>
      <c r="M397" s="139"/>
      <c r="N397" s="139"/>
      <c r="O397" s="139"/>
      <c r="P397" s="139"/>
      <c r="Q397" s="139"/>
      <c r="R397" s="139"/>
      <c r="S397" s="139"/>
      <c r="T397" s="139"/>
      <c r="U397" s="139"/>
      <c r="V397" s="139"/>
      <c r="W397" s="139"/>
      <c r="X397" s="139"/>
      <c r="Y397" s="139"/>
      <c r="Z397" s="139"/>
    </row>
    <row r="398" spans="1:26" s="302" customFormat="1">
      <c r="A398" s="139"/>
      <c r="B398" s="139"/>
      <c r="C398" s="139"/>
      <c r="D398" s="156"/>
      <c r="E398" s="139"/>
      <c r="F398" s="139"/>
      <c r="G398" s="139"/>
      <c r="H398" s="139"/>
      <c r="I398" s="139"/>
      <c r="J398" s="139"/>
      <c r="K398" s="139"/>
      <c r="L398" s="139"/>
      <c r="M398" s="139"/>
      <c r="N398" s="139"/>
      <c r="O398" s="139"/>
      <c r="P398" s="139"/>
      <c r="Q398" s="139"/>
      <c r="R398" s="139"/>
      <c r="S398" s="139"/>
      <c r="T398" s="139"/>
      <c r="U398" s="139"/>
      <c r="V398" s="139"/>
      <c r="W398" s="139"/>
      <c r="X398" s="139"/>
      <c r="Y398" s="139"/>
      <c r="Z398" s="139"/>
    </row>
    <row r="399" spans="1:26" s="291" customFormat="1">
      <c r="A399" s="139"/>
      <c r="B399" s="139"/>
      <c r="C399" s="139"/>
      <c r="D399" s="267"/>
      <c r="E399" s="139"/>
      <c r="F399" s="139"/>
      <c r="G399" s="139"/>
      <c r="H399" s="139"/>
      <c r="I399" s="139"/>
      <c r="J399" s="139"/>
      <c r="K399" s="139"/>
      <c r="L399" s="139"/>
      <c r="M399" s="139"/>
      <c r="N399" s="139"/>
      <c r="O399" s="139"/>
      <c r="P399" s="139"/>
      <c r="Q399" s="139"/>
      <c r="R399" s="139"/>
      <c r="S399" s="139"/>
      <c r="T399" s="139"/>
      <c r="U399" s="139"/>
      <c r="V399" s="139"/>
      <c r="W399" s="139"/>
      <c r="X399" s="139"/>
      <c r="Y399" s="139"/>
      <c r="Z399" s="139"/>
    </row>
    <row r="400" spans="1:26" s="291" customFormat="1">
      <c r="A400" s="139"/>
      <c r="B400" s="139"/>
      <c r="C400" s="139"/>
      <c r="D400" s="267"/>
      <c r="E400" s="139"/>
      <c r="F400" s="139"/>
      <c r="G400" s="139"/>
      <c r="H400" s="139"/>
      <c r="I400" s="139"/>
      <c r="J400" s="139"/>
      <c r="K400" s="139"/>
      <c r="L400" s="139"/>
      <c r="M400" s="139"/>
      <c r="N400" s="139"/>
      <c r="O400" s="139"/>
      <c r="P400" s="139"/>
      <c r="Q400" s="139"/>
      <c r="R400" s="139"/>
      <c r="S400" s="139"/>
      <c r="T400" s="139"/>
      <c r="U400" s="139"/>
      <c r="V400" s="139"/>
      <c r="W400" s="139"/>
      <c r="X400" s="139"/>
      <c r="Y400" s="139"/>
      <c r="Z400" s="139"/>
    </row>
    <row r="401" spans="1:26" s="291" customFormat="1">
      <c r="A401" s="139"/>
      <c r="B401" s="139"/>
      <c r="C401" s="139"/>
      <c r="D401" s="156"/>
      <c r="E401" s="139"/>
      <c r="F401" s="139"/>
      <c r="G401" s="139"/>
      <c r="H401" s="139"/>
      <c r="I401" s="139"/>
      <c r="J401" s="139"/>
      <c r="K401" s="139"/>
      <c r="L401" s="139"/>
      <c r="M401" s="139"/>
      <c r="N401" s="139"/>
      <c r="O401" s="139"/>
      <c r="P401" s="139"/>
      <c r="Q401" s="139"/>
      <c r="R401" s="139"/>
      <c r="S401" s="139"/>
      <c r="T401" s="139"/>
      <c r="U401" s="139"/>
      <c r="V401" s="139"/>
      <c r="W401" s="139"/>
      <c r="X401" s="139"/>
      <c r="Y401" s="139"/>
      <c r="Z401" s="139"/>
    </row>
    <row r="402" spans="1:26" s="291" customFormat="1">
      <c r="A402" s="139"/>
      <c r="B402" s="139"/>
      <c r="C402" s="139"/>
      <c r="D402" s="156"/>
      <c r="E402" s="139"/>
      <c r="F402" s="139"/>
      <c r="G402" s="139"/>
      <c r="H402" s="139"/>
      <c r="I402" s="139"/>
      <c r="J402" s="139"/>
      <c r="K402" s="139"/>
      <c r="L402" s="139"/>
      <c r="M402" s="139"/>
      <c r="N402" s="139"/>
      <c r="O402" s="139"/>
      <c r="P402" s="139"/>
      <c r="Q402" s="139"/>
      <c r="R402" s="139"/>
      <c r="S402" s="139"/>
      <c r="T402" s="139"/>
      <c r="U402" s="139"/>
      <c r="V402" s="139"/>
      <c r="W402" s="139"/>
      <c r="X402" s="139"/>
      <c r="Y402" s="139"/>
      <c r="Z402" s="139"/>
    </row>
    <row r="403" spans="1:26" s="291" customFormat="1">
      <c r="A403" s="139"/>
      <c r="B403" s="139"/>
      <c r="C403" s="139"/>
      <c r="D403" s="156"/>
      <c r="E403" s="139"/>
      <c r="F403" s="139"/>
      <c r="G403" s="139"/>
      <c r="H403" s="139"/>
      <c r="I403" s="139"/>
      <c r="J403" s="139"/>
      <c r="K403" s="139"/>
      <c r="L403" s="139"/>
      <c r="M403" s="139"/>
      <c r="N403" s="139"/>
      <c r="O403" s="139"/>
      <c r="P403" s="139"/>
      <c r="Q403" s="139"/>
      <c r="R403" s="139"/>
      <c r="S403" s="139"/>
      <c r="T403" s="139"/>
      <c r="U403" s="139"/>
      <c r="V403" s="139"/>
      <c r="W403" s="139"/>
      <c r="X403" s="139"/>
      <c r="Y403" s="139"/>
      <c r="Z403" s="139"/>
    </row>
    <row r="404" spans="1:26" s="291" customFormat="1">
      <c r="A404" s="139"/>
      <c r="B404" s="139"/>
      <c r="C404" s="139"/>
      <c r="D404" s="156"/>
      <c r="E404" s="139"/>
      <c r="F404" s="139"/>
      <c r="G404" s="139"/>
      <c r="H404" s="139"/>
      <c r="I404" s="139"/>
      <c r="J404" s="139"/>
      <c r="K404" s="139"/>
      <c r="L404" s="139"/>
      <c r="M404" s="139"/>
      <c r="N404" s="139"/>
      <c r="O404" s="139"/>
      <c r="P404" s="139"/>
      <c r="Q404" s="139"/>
      <c r="R404" s="139"/>
      <c r="S404" s="139"/>
      <c r="T404" s="139"/>
      <c r="U404" s="139"/>
      <c r="V404" s="139"/>
      <c r="W404" s="139"/>
      <c r="X404" s="139"/>
      <c r="Y404" s="139"/>
      <c r="Z404" s="139"/>
    </row>
    <row r="405" spans="1:26" s="291" customFormat="1">
      <c r="A405" s="139"/>
      <c r="B405" s="139"/>
      <c r="C405" s="139"/>
      <c r="D405" s="156"/>
      <c r="E405" s="139"/>
      <c r="F405" s="139"/>
      <c r="G405" s="139"/>
      <c r="H405" s="139"/>
      <c r="I405" s="139"/>
      <c r="J405" s="139"/>
      <c r="K405" s="139"/>
      <c r="L405" s="139"/>
      <c r="M405" s="139"/>
      <c r="N405" s="139"/>
      <c r="O405" s="139"/>
      <c r="P405" s="139"/>
      <c r="Q405" s="139"/>
      <c r="R405" s="139"/>
      <c r="S405" s="139"/>
      <c r="T405" s="139"/>
      <c r="U405" s="139"/>
      <c r="V405" s="139"/>
      <c r="W405" s="139"/>
      <c r="X405" s="139"/>
      <c r="Y405" s="139"/>
      <c r="Z405" s="139"/>
    </row>
    <row r="406" spans="1:26" s="291" customFormat="1">
      <c r="A406" s="136"/>
      <c r="B406" s="136"/>
      <c r="C406" s="136"/>
      <c r="D406" s="136"/>
      <c r="E406" s="139"/>
      <c r="F406" s="139"/>
      <c r="G406" s="139"/>
      <c r="H406" s="139"/>
      <c r="I406" s="139"/>
      <c r="J406" s="139"/>
      <c r="K406" s="139"/>
      <c r="L406" s="139"/>
      <c r="M406" s="139"/>
      <c r="N406" s="139"/>
      <c r="O406" s="139"/>
      <c r="P406" s="139"/>
      <c r="Q406" s="139"/>
      <c r="R406" s="139"/>
      <c r="S406" s="139"/>
      <c r="T406" s="139"/>
      <c r="U406" s="139"/>
      <c r="V406" s="139"/>
      <c r="W406" s="139"/>
      <c r="X406" s="139"/>
      <c r="Y406" s="139"/>
      <c r="Z406" s="139"/>
    </row>
    <row r="407" spans="1:26" s="291" customFormat="1">
      <c r="A407" s="136"/>
      <c r="B407" s="136"/>
      <c r="C407" s="136"/>
      <c r="D407" s="136"/>
      <c r="E407" s="139"/>
      <c r="F407" s="139"/>
      <c r="G407" s="139"/>
      <c r="H407" s="139"/>
      <c r="I407" s="139"/>
      <c r="J407" s="139"/>
      <c r="K407" s="139"/>
      <c r="L407" s="139"/>
      <c r="M407" s="139"/>
      <c r="N407" s="139"/>
      <c r="O407" s="139"/>
      <c r="P407" s="139"/>
      <c r="Q407" s="139"/>
      <c r="R407" s="139"/>
      <c r="S407" s="139"/>
      <c r="T407" s="139"/>
      <c r="U407" s="139"/>
      <c r="V407" s="139"/>
      <c r="W407" s="139"/>
      <c r="X407" s="139"/>
      <c r="Y407" s="139"/>
      <c r="Z407" s="139"/>
    </row>
    <row r="408" spans="1:26" s="291" customFormat="1">
      <c r="A408" s="136"/>
      <c r="B408" s="136"/>
      <c r="C408" s="136"/>
      <c r="D408" s="136"/>
      <c r="E408" s="139"/>
      <c r="F408" s="139"/>
      <c r="G408" s="139"/>
      <c r="H408" s="139"/>
      <c r="I408" s="139"/>
      <c r="J408" s="139"/>
      <c r="K408" s="139"/>
      <c r="L408" s="139"/>
      <c r="M408" s="139"/>
      <c r="N408" s="139"/>
      <c r="O408" s="139"/>
      <c r="P408" s="139"/>
      <c r="Q408" s="139"/>
      <c r="R408" s="139"/>
      <c r="S408" s="139"/>
      <c r="T408" s="139"/>
      <c r="U408" s="139"/>
      <c r="V408" s="139"/>
      <c r="W408" s="139"/>
      <c r="X408" s="139"/>
      <c r="Y408" s="139"/>
      <c r="Z408" s="139"/>
    </row>
    <row r="409" spans="1:26" s="291" customFormat="1">
      <c r="A409" s="136"/>
      <c r="B409" s="136"/>
      <c r="C409" s="136"/>
      <c r="D409" s="136"/>
      <c r="E409" s="139"/>
      <c r="F409" s="139"/>
      <c r="G409" s="139"/>
      <c r="H409" s="139"/>
      <c r="I409" s="139"/>
      <c r="J409" s="139"/>
      <c r="K409" s="139"/>
      <c r="L409" s="139"/>
      <c r="M409" s="139"/>
      <c r="N409" s="139"/>
      <c r="O409" s="139"/>
      <c r="P409" s="139"/>
      <c r="Q409" s="139"/>
      <c r="R409" s="139"/>
      <c r="S409" s="139"/>
      <c r="T409" s="139"/>
      <c r="U409" s="139"/>
      <c r="V409" s="139"/>
      <c r="W409" s="139"/>
      <c r="X409" s="139"/>
      <c r="Y409" s="139"/>
      <c r="Z409" s="139"/>
    </row>
    <row r="410" spans="1:26" s="291" customFormat="1">
      <c r="A410" s="136"/>
      <c r="B410" s="136"/>
      <c r="C410" s="136"/>
      <c r="D410" s="136"/>
      <c r="E410" s="139"/>
      <c r="F410" s="139"/>
      <c r="G410" s="139"/>
      <c r="H410" s="139"/>
      <c r="I410" s="139"/>
      <c r="J410" s="139"/>
      <c r="K410" s="139"/>
      <c r="L410" s="139"/>
      <c r="M410" s="139"/>
      <c r="N410" s="139"/>
      <c r="O410" s="139"/>
      <c r="P410" s="139"/>
      <c r="Q410" s="139"/>
      <c r="R410" s="139"/>
      <c r="S410" s="139"/>
      <c r="T410" s="139"/>
      <c r="U410" s="139"/>
      <c r="V410" s="139"/>
      <c r="W410" s="139"/>
      <c r="X410" s="139"/>
      <c r="Y410" s="139"/>
      <c r="Z410" s="139"/>
    </row>
    <row r="411" spans="1:26" s="310" customFormat="1">
      <c r="A411" s="136"/>
      <c r="B411" s="136"/>
      <c r="C411" s="136"/>
      <c r="D411" s="136"/>
      <c r="E411" s="139"/>
      <c r="F411" s="139"/>
      <c r="G411" s="139"/>
      <c r="H411" s="139"/>
      <c r="I411" s="139"/>
      <c r="J411" s="139"/>
      <c r="K411" s="139"/>
      <c r="L411" s="139"/>
      <c r="M411" s="139"/>
      <c r="N411" s="139"/>
      <c r="O411" s="139"/>
      <c r="P411" s="139"/>
      <c r="Q411" s="139"/>
      <c r="R411" s="139"/>
      <c r="S411" s="139"/>
      <c r="T411" s="139"/>
      <c r="U411" s="139"/>
      <c r="V411" s="139"/>
      <c r="W411" s="139"/>
      <c r="X411" s="139"/>
      <c r="Y411" s="139"/>
      <c r="Z411" s="139"/>
    </row>
    <row r="412" spans="1:26" s="310" customFormat="1">
      <c r="A412" s="136"/>
      <c r="B412" s="136"/>
      <c r="C412" s="136"/>
      <c r="D412" s="136"/>
      <c r="E412" s="139"/>
      <c r="F412" s="139"/>
      <c r="G412" s="139"/>
      <c r="H412" s="139"/>
      <c r="I412" s="139"/>
      <c r="J412" s="139"/>
      <c r="K412" s="139"/>
      <c r="L412" s="139"/>
      <c r="M412" s="139"/>
      <c r="N412" s="139"/>
      <c r="O412" s="139"/>
      <c r="P412" s="139"/>
      <c r="Q412" s="139"/>
      <c r="R412" s="139"/>
      <c r="S412" s="139"/>
      <c r="T412" s="139"/>
      <c r="U412" s="139"/>
      <c r="V412" s="139"/>
      <c r="W412" s="139"/>
      <c r="X412" s="139"/>
      <c r="Y412" s="139"/>
      <c r="Z412" s="139"/>
    </row>
    <row r="413" spans="1:26" s="291" customFormat="1">
      <c r="A413" s="136"/>
      <c r="B413" s="136"/>
      <c r="C413" s="136"/>
      <c r="D413" s="136"/>
      <c r="E413" s="139"/>
      <c r="F413" s="139"/>
      <c r="G413" s="139"/>
      <c r="H413" s="139"/>
      <c r="I413" s="139"/>
      <c r="J413" s="139"/>
      <c r="K413" s="139"/>
      <c r="L413" s="139"/>
      <c r="M413" s="139"/>
      <c r="N413" s="139"/>
      <c r="O413" s="139"/>
      <c r="P413" s="139"/>
      <c r="Q413" s="139"/>
      <c r="R413" s="139"/>
      <c r="S413" s="139"/>
      <c r="T413" s="139"/>
      <c r="U413" s="139"/>
      <c r="V413" s="139"/>
      <c r="W413" s="139"/>
      <c r="X413" s="139"/>
      <c r="Y413" s="139"/>
      <c r="Z413" s="139"/>
    </row>
    <row r="414" spans="1:26" s="291" customFormat="1">
      <c r="A414" s="136"/>
      <c r="B414" s="136"/>
      <c r="C414" s="136"/>
      <c r="D414" s="136"/>
      <c r="E414" s="139"/>
      <c r="F414" s="139"/>
      <c r="G414" s="139"/>
      <c r="H414" s="139"/>
      <c r="I414" s="139"/>
      <c r="J414" s="139"/>
      <c r="K414" s="139"/>
      <c r="L414" s="139"/>
      <c r="M414" s="139"/>
      <c r="N414" s="139"/>
      <c r="O414" s="139"/>
      <c r="P414" s="139"/>
      <c r="Q414" s="139"/>
      <c r="R414" s="139"/>
      <c r="S414" s="139"/>
      <c r="T414" s="139"/>
      <c r="U414" s="139"/>
      <c r="V414" s="139"/>
      <c r="W414" s="139"/>
      <c r="X414" s="139"/>
      <c r="Y414" s="139"/>
      <c r="Z414" s="139"/>
    </row>
    <row r="415" spans="1:26" s="291" customFormat="1">
      <c r="A415" s="136"/>
      <c r="B415" s="136"/>
      <c r="C415" s="136"/>
      <c r="D415" s="136"/>
      <c r="E415" s="139"/>
      <c r="F415" s="139"/>
      <c r="G415" s="139"/>
      <c r="H415" s="139"/>
      <c r="I415" s="139"/>
      <c r="J415" s="139"/>
      <c r="K415" s="139"/>
      <c r="L415" s="139"/>
      <c r="M415" s="139"/>
      <c r="N415" s="139"/>
      <c r="O415" s="139"/>
      <c r="P415" s="139"/>
      <c r="Q415" s="139"/>
      <c r="R415" s="139"/>
      <c r="S415" s="139"/>
      <c r="T415" s="139"/>
      <c r="U415" s="139"/>
      <c r="V415" s="139"/>
      <c r="W415" s="139"/>
      <c r="X415" s="139"/>
      <c r="Y415" s="139"/>
      <c r="Z415" s="139"/>
    </row>
    <row r="416" spans="1:26" s="291" customFormat="1">
      <c r="A416" s="136"/>
      <c r="B416" s="136"/>
      <c r="C416" s="136"/>
      <c r="D416" s="136"/>
      <c r="E416" s="139"/>
      <c r="F416" s="139"/>
      <c r="G416" s="139"/>
      <c r="H416" s="139"/>
      <c r="I416" s="139"/>
      <c r="J416" s="139"/>
      <c r="K416" s="139"/>
      <c r="L416" s="139"/>
      <c r="M416" s="139"/>
      <c r="N416" s="139"/>
      <c r="O416" s="139"/>
      <c r="P416" s="139"/>
      <c r="Q416" s="139"/>
      <c r="R416" s="139"/>
      <c r="S416" s="139"/>
      <c r="T416" s="139"/>
      <c r="U416" s="139"/>
      <c r="V416" s="139"/>
      <c r="W416" s="139"/>
      <c r="X416" s="139"/>
      <c r="Y416" s="139"/>
      <c r="Z416" s="139"/>
    </row>
    <row r="417" spans="1:26" s="291" customFormat="1">
      <c r="A417" s="136"/>
      <c r="B417" s="136"/>
      <c r="C417" s="136"/>
      <c r="D417" s="136"/>
      <c r="E417" s="139"/>
      <c r="F417" s="139"/>
      <c r="G417" s="139"/>
      <c r="H417" s="139"/>
      <c r="I417" s="139"/>
      <c r="J417" s="139"/>
      <c r="K417" s="139"/>
      <c r="L417" s="139"/>
      <c r="M417" s="139"/>
      <c r="N417" s="139"/>
      <c r="O417" s="139"/>
      <c r="P417" s="139"/>
      <c r="Q417" s="139"/>
      <c r="R417" s="139"/>
      <c r="S417" s="139"/>
      <c r="T417" s="139"/>
      <c r="U417" s="139"/>
      <c r="V417" s="139"/>
      <c r="W417" s="139"/>
      <c r="X417" s="139"/>
      <c r="Y417" s="139"/>
      <c r="Z417" s="139"/>
    </row>
    <row r="418" spans="1:26" s="291" customFormat="1">
      <c r="A418" s="136"/>
      <c r="B418" s="136"/>
      <c r="C418" s="136"/>
      <c r="D418" s="136"/>
      <c r="E418" s="139"/>
      <c r="F418" s="139"/>
      <c r="G418" s="139"/>
      <c r="H418" s="139"/>
      <c r="I418" s="139"/>
      <c r="J418" s="139"/>
      <c r="K418" s="139"/>
      <c r="L418" s="139"/>
      <c r="M418" s="139"/>
      <c r="N418" s="139"/>
      <c r="O418" s="139"/>
      <c r="P418" s="139"/>
      <c r="Q418" s="139"/>
      <c r="R418" s="139"/>
      <c r="S418" s="139"/>
      <c r="T418" s="139"/>
      <c r="U418" s="139"/>
      <c r="V418" s="139"/>
      <c r="W418" s="139"/>
      <c r="X418" s="139"/>
      <c r="Y418" s="139"/>
      <c r="Z418" s="139"/>
    </row>
    <row r="419" spans="1:26">
      <c r="A419" s="136"/>
      <c r="B419" s="136"/>
      <c r="C419" s="136"/>
      <c r="D419" s="136"/>
    </row>
    <row r="420" spans="1:26">
      <c r="A420" s="136"/>
      <c r="B420" s="136"/>
      <c r="C420" s="136"/>
      <c r="D420" s="136"/>
    </row>
    <row r="421" spans="1:26">
      <c r="A421" s="136"/>
      <c r="B421" s="136"/>
      <c r="C421" s="136"/>
      <c r="D421" s="136"/>
    </row>
    <row r="422" spans="1:26">
      <c r="A422" s="136"/>
      <c r="B422" s="136"/>
      <c r="C422" s="136"/>
      <c r="D422" s="136"/>
    </row>
    <row r="423" spans="1:26" s="194" customFormat="1" ht="13.2">
      <c r="A423" s="136"/>
      <c r="B423" s="136"/>
      <c r="C423" s="136"/>
      <c r="D423" s="136"/>
      <c r="E423" s="139"/>
      <c r="F423" s="139"/>
      <c r="G423" s="139"/>
      <c r="H423" s="139"/>
      <c r="I423" s="139"/>
      <c r="J423" s="139"/>
      <c r="K423" s="139"/>
      <c r="L423" s="139"/>
      <c r="M423" s="139"/>
      <c r="N423" s="139"/>
      <c r="O423" s="139"/>
      <c r="P423" s="139"/>
      <c r="Q423" s="139"/>
      <c r="R423" s="139"/>
      <c r="S423" s="139"/>
      <c r="T423" s="139"/>
      <c r="U423" s="139"/>
      <c r="V423" s="139"/>
      <c r="W423" s="139"/>
      <c r="X423" s="139"/>
      <c r="Y423" s="139"/>
      <c r="Z423" s="139"/>
    </row>
    <row r="424" spans="1:26">
      <c r="A424" s="136"/>
      <c r="B424" s="136"/>
      <c r="C424" s="136"/>
      <c r="D424" s="136"/>
    </row>
    <row r="425" spans="1:26">
      <c r="D425" s="156"/>
    </row>
    <row r="426" spans="1:26" ht="13.2">
      <c r="A426" s="291"/>
      <c r="B426" s="291"/>
      <c r="C426" s="291"/>
      <c r="D426" s="294"/>
      <c r="E426" s="291"/>
      <c r="F426" s="291"/>
      <c r="G426" s="291"/>
      <c r="H426" s="291"/>
      <c r="I426" s="291"/>
      <c r="J426" s="291"/>
      <c r="K426" s="291"/>
      <c r="L426" s="291"/>
      <c r="M426" s="291"/>
      <c r="N426" s="291"/>
      <c r="O426" s="291"/>
      <c r="P426" s="291"/>
      <c r="Q426" s="291"/>
      <c r="R426" s="291"/>
      <c r="S426" s="291"/>
      <c r="T426" s="291"/>
      <c r="U426" s="291"/>
      <c r="V426" s="291"/>
      <c r="W426" s="291"/>
      <c r="X426" s="291"/>
      <c r="Y426" s="291"/>
      <c r="Z426" s="291"/>
    </row>
    <row r="427" spans="1:26" ht="13.2">
      <c r="A427" s="291"/>
      <c r="B427" s="291"/>
      <c r="C427" s="291"/>
      <c r="D427" s="294"/>
      <c r="E427" s="291"/>
      <c r="F427" s="291"/>
      <c r="G427" s="291"/>
      <c r="H427" s="291"/>
      <c r="I427" s="291"/>
      <c r="J427" s="291"/>
      <c r="K427" s="291"/>
      <c r="L427" s="291"/>
      <c r="M427" s="291"/>
      <c r="N427" s="291"/>
      <c r="O427" s="291"/>
      <c r="P427" s="291"/>
      <c r="Q427" s="291"/>
      <c r="R427" s="291"/>
      <c r="S427" s="291"/>
      <c r="T427" s="291"/>
      <c r="U427" s="291"/>
      <c r="V427" s="291"/>
      <c r="W427" s="291"/>
      <c r="X427" s="291"/>
      <c r="Y427" s="291"/>
      <c r="Z427" s="291"/>
    </row>
    <row r="428" spans="1:26" ht="13.2">
      <c r="A428" s="291"/>
      <c r="B428" s="291"/>
      <c r="C428" s="291"/>
      <c r="D428" s="294"/>
      <c r="E428" s="291"/>
      <c r="F428" s="291"/>
      <c r="G428" s="291"/>
      <c r="H428" s="291"/>
      <c r="I428" s="291"/>
      <c r="J428" s="291"/>
      <c r="K428" s="291"/>
      <c r="L428" s="291"/>
      <c r="M428" s="291"/>
      <c r="N428" s="291"/>
      <c r="O428" s="291"/>
      <c r="P428" s="291"/>
      <c r="Q428" s="291"/>
      <c r="R428" s="291"/>
      <c r="S428" s="291"/>
      <c r="T428" s="291"/>
      <c r="U428" s="291"/>
      <c r="V428" s="291"/>
      <c r="W428" s="291"/>
      <c r="X428" s="291"/>
      <c r="Y428" s="291"/>
      <c r="Z428" s="291"/>
    </row>
    <row r="429" spans="1:26" ht="13.2">
      <c r="A429" s="291"/>
      <c r="B429" s="291"/>
      <c r="C429" s="291"/>
      <c r="D429" s="294"/>
      <c r="E429" s="291"/>
      <c r="F429" s="291"/>
      <c r="G429" s="291"/>
      <c r="H429" s="291"/>
      <c r="I429" s="291"/>
      <c r="J429" s="291"/>
      <c r="K429" s="291"/>
      <c r="L429" s="291"/>
      <c r="M429" s="291"/>
      <c r="N429" s="291"/>
      <c r="O429" s="291"/>
      <c r="P429" s="291"/>
      <c r="Q429" s="291"/>
      <c r="R429" s="291"/>
      <c r="S429" s="291"/>
      <c r="T429" s="291"/>
      <c r="U429" s="291"/>
      <c r="V429" s="291"/>
      <c r="W429" s="291"/>
      <c r="X429" s="291"/>
      <c r="Y429" s="291"/>
      <c r="Z429" s="291"/>
    </row>
    <row r="430" spans="1:26" ht="13.2">
      <c r="A430" s="291"/>
      <c r="B430" s="291"/>
      <c r="C430" s="291"/>
      <c r="D430" s="299"/>
      <c r="E430" s="291"/>
      <c r="F430" s="291"/>
      <c r="G430" s="291"/>
      <c r="H430" s="291"/>
      <c r="I430" s="291"/>
      <c r="J430" s="291"/>
      <c r="K430" s="291"/>
      <c r="L430" s="291"/>
      <c r="M430" s="291"/>
      <c r="N430" s="291"/>
      <c r="O430" s="291"/>
      <c r="P430" s="291"/>
      <c r="Q430" s="291"/>
      <c r="R430" s="291"/>
      <c r="S430" s="291"/>
      <c r="T430" s="291"/>
      <c r="U430" s="291"/>
      <c r="V430" s="291"/>
      <c r="W430" s="291"/>
      <c r="X430" s="291"/>
      <c r="Y430" s="291"/>
      <c r="Z430" s="291"/>
    </row>
    <row r="431" spans="1:26" ht="13.2">
      <c r="A431" s="291"/>
      <c r="B431" s="291"/>
      <c r="C431" s="291"/>
      <c r="D431" s="299"/>
      <c r="E431" s="291"/>
      <c r="F431" s="291"/>
      <c r="G431" s="291"/>
      <c r="H431" s="291"/>
      <c r="I431" s="291"/>
      <c r="J431" s="291"/>
      <c r="K431" s="291"/>
      <c r="L431" s="291"/>
      <c r="M431" s="291"/>
      <c r="N431" s="291"/>
      <c r="O431" s="291"/>
      <c r="P431" s="291"/>
      <c r="Q431" s="291"/>
      <c r="R431" s="291"/>
      <c r="S431" s="291"/>
      <c r="T431" s="291"/>
      <c r="U431" s="291"/>
      <c r="V431" s="291"/>
      <c r="W431" s="291"/>
      <c r="X431" s="291"/>
      <c r="Y431" s="291"/>
      <c r="Z431" s="291"/>
    </row>
    <row r="432" spans="1:26" ht="13.2">
      <c r="A432" s="291"/>
      <c r="B432" s="291"/>
      <c r="C432" s="291"/>
      <c r="D432" s="294"/>
      <c r="E432" s="291"/>
      <c r="F432" s="291"/>
      <c r="G432" s="291"/>
      <c r="H432" s="291"/>
      <c r="I432" s="291"/>
      <c r="J432" s="291"/>
      <c r="K432" s="291"/>
      <c r="L432" s="291"/>
      <c r="M432" s="291"/>
      <c r="N432" s="291"/>
      <c r="O432" s="291"/>
      <c r="P432" s="291"/>
      <c r="Q432" s="291"/>
      <c r="R432" s="291"/>
      <c r="S432" s="291"/>
      <c r="T432" s="291"/>
      <c r="U432" s="291"/>
      <c r="V432" s="291"/>
      <c r="W432" s="291"/>
      <c r="X432" s="291"/>
      <c r="Y432" s="291"/>
      <c r="Z432" s="291"/>
    </row>
    <row r="433" spans="1:26" ht="13.2">
      <c r="A433" s="291"/>
      <c r="B433" s="291"/>
      <c r="C433" s="291"/>
      <c r="D433" s="294"/>
      <c r="E433" s="291"/>
      <c r="F433" s="291"/>
      <c r="G433" s="291"/>
      <c r="H433" s="291"/>
      <c r="I433" s="291"/>
      <c r="J433" s="291"/>
      <c r="K433" s="291"/>
      <c r="L433" s="291"/>
      <c r="M433" s="291"/>
      <c r="N433" s="291"/>
      <c r="O433" s="291"/>
      <c r="P433" s="291"/>
      <c r="Q433" s="291"/>
      <c r="R433" s="291"/>
      <c r="S433" s="291"/>
      <c r="T433" s="291"/>
      <c r="U433" s="291"/>
      <c r="V433" s="291"/>
      <c r="W433" s="291"/>
      <c r="X433" s="291"/>
      <c r="Y433" s="291"/>
      <c r="Z433" s="291"/>
    </row>
    <row r="434" spans="1:26" s="335" customFormat="1" ht="13.2">
      <c r="A434" s="291"/>
      <c r="B434" s="291"/>
      <c r="C434" s="291"/>
      <c r="D434" s="294"/>
      <c r="E434" s="291"/>
      <c r="F434" s="291"/>
      <c r="G434" s="291"/>
      <c r="H434" s="291"/>
      <c r="I434" s="291"/>
      <c r="J434" s="291"/>
      <c r="K434" s="291"/>
      <c r="L434" s="291"/>
      <c r="M434" s="291"/>
      <c r="N434" s="291"/>
      <c r="O434" s="291"/>
      <c r="P434" s="291"/>
      <c r="Q434" s="291"/>
      <c r="R434" s="291"/>
      <c r="S434" s="291"/>
      <c r="T434" s="291"/>
      <c r="U434" s="291"/>
      <c r="V434" s="291"/>
      <c r="W434" s="291"/>
      <c r="X434" s="291"/>
      <c r="Y434" s="291"/>
      <c r="Z434" s="291"/>
    </row>
    <row r="435" spans="1:26" s="372" customFormat="1" ht="13.2">
      <c r="A435" s="291"/>
      <c r="B435" s="291"/>
      <c r="C435" s="291"/>
      <c r="D435" s="294"/>
      <c r="E435" s="291"/>
      <c r="F435" s="291"/>
      <c r="G435" s="291"/>
      <c r="H435" s="291"/>
      <c r="I435" s="291"/>
      <c r="J435" s="291"/>
      <c r="K435" s="291"/>
      <c r="L435" s="291"/>
      <c r="M435" s="291"/>
      <c r="N435" s="291"/>
      <c r="O435" s="291"/>
      <c r="P435" s="291"/>
      <c r="Q435" s="291"/>
      <c r="R435" s="291"/>
      <c r="S435" s="291"/>
      <c r="T435" s="291"/>
      <c r="U435" s="291"/>
      <c r="V435" s="291"/>
      <c r="W435" s="291"/>
      <c r="X435" s="291"/>
      <c r="Y435" s="291"/>
      <c r="Z435" s="291"/>
    </row>
    <row r="436" spans="1:26" s="355" customFormat="1" ht="13.2">
      <c r="A436" s="291"/>
      <c r="B436" s="291"/>
      <c r="C436" s="291"/>
      <c r="D436" s="294"/>
      <c r="E436" s="291"/>
      <c r="F436" s="291"/>
      <c r="G436" s="291"/>
      <c r="H436" s="291"/>
      <c r="I436" s="291"/>
      <c r="J436" s="291"/>
      <c r="K436" s="291"/>
      <c r="L436" s="291"/>
      <c r="M436" s="291"/>
      <c r="N436" s="291"/>
      <c r="O436" s="291"/>
      <c r="P436" s="291"/>
      <c r="Q436" s="291"/>
      <c r="R436" s="291"/>
      <c r="S436" s="291"/>
      <c r="T436" s="291"/>
      <c r="U436" s="291"/>
      <c r="V436" s="291"/>
      <c r="W436" s="291"/>
      <c r="X436" s="291"/>
      <c r="Y436" s="291"/>
      <c r="Z436" s="291"/>
    </row>
    <row r="437" spans="1:26" s="115" customFormat="1" ht="13.2">
      <c r="A437" s="291"/>
      <c r="B437" s="291"/>
      <c r="C437" s="291"/>
      <c r="D437" s="299"/>
      <c r="E437" s="291"/>
      <c r="F437" s="291"/>
      <c r="G437" s="291"/>
      <c r="H437" s="291"/>
      <c r="I437" s="291"/>
      <c r="J437" s="291"/>
      <c r="K437" s="291"/>
      <c r="L437" s="291"/>
      <c r="M437" s="291"/>
      <c r="N437" s="291"/>
      <c r="O437" s="291"/>
      <c r="P437" s="291"/>
      <c r="Q437" s="291"/>
      <c r="R437" s="291"/>
      <c r="S437" s="291"/>
      <c r="T437" s="291"/>
      <c r="U437" s="291"/>
      <c r="V437" s="291"/>
      <c r="W437" s="291"/>
      <c r="X437" s="291"/>
      <c r="Y437" s="291"/>
      <c r="Z437" s="291"/>
    </row>
    <row r="438" spans="1:26" s="355" customFormat="1">
      <c r="A438" s="143"/>
      <c r="B438" s="143"/>
      <c r="C438" s="143"/>
      <c r="D438" s="147"/>
      <c r="E438" s="143"/>
      <c r="F438" s="143"/>
      <c r="G438" s="143"/>
      <c r="H438" s="143"/>
      <c r="I438" s="143"/>
      <c r="J438" s="143"/>
      <c r="K438" s="143"/>
      <c r="L438" s="143"/>
      <c r="M438" s="143"/>
      <c r="N438" s="143"/>
      <c r="O438" s="143"/>
      <c r="P438" s="143"/>
      <c r="Q438" s="143"/>
      <c r="R438" s="143"/>
      <c r="S438" s="143"/>
      <c r="T438" s="143"/>
      <c r="U438" s="143"/>
      <c r="V438" s="143"/>
      <c r="W438" s="143"/>
      <c r="X438" s="143"/>
      <c r="Y438" s="143"/>
      <c r="Z438" s="143"/>
    </row>
    <row r="439" spans="1:26" s="115" customFormat="1">
      <c r="A439" s="143"/>
      <c r="B439" s="143"/>
      <c r="C439" s="143"/>
      <c r="D439" s="147"/>
      <c r="E439" s="143"/>
      <c r="F439" s="143"/>
      <c r="G439" s="143"/>
      <c r="H439" s="143"/>
      <c r="I439" s="143"/>
      <c r="J439" s="143"/>
      <c r="K439" s="143"/>
      <c r="L439" s="143"/>
      <c r="M439" s="143"/>
      <c r="N439" s="143"/>
      <c r="O439" s="143"/>
      <c r="P439" s="143"/>
      <c r="Q439" s="143"/>
      <c r="R439" s="143"/>
      <c r="S439" s="143"/>
      <c r="T439" s="143"/>
      <c r="U439" s="143"/>
      <c r="V439" s="143"/>
      <c r="W439" s="143"/>
      <c r="X439" s="143"/>
      <c r="Y439" s="143"/>
      <c r="Z439" s="143"/>
    </row>
    <row r="440" spans="1:26" s="115" customFormat="1">
      <c r="A440" s="143"/>
      <c r="B440" s="143"/>
      <c r="C440" s="143"/>
      <c r="D440" s="151"/>
      <c r="E440" s="143"/>
      <c r="F440" s="143"/>
      <c r="G440" s="143"/>
      <c r="H440" s="143"/>
      <c r="I440" s="143"/>
      <c r="J440" s="143"/>
      <c r="K440" s="143"/>
      <c r="L440" s="143"/>
      <c r="M440" s="143"/>
      <c r="N440" s="143"/>
      <c r="O440" s="143"/>
      <c r="P440" s="143"/>
      <c r="Q440" s="143"/>
      <c r="R440" s="143"/>
      <c r="S440" s="143"/>
      <c r="T440" s="143"/>
      <c r="U440" s="143"/>
      <c r="V440" s="143"/>
      <c r="W440" s="143"/>
      <c r="X440" s="143"/>
      <c r="Y440" s="143"/>
      <c r="Z440" s="143"/>
    </row>
    <row r="441" spans="1:26" s="355" customFormat="1">
      <c r="A441" s="139"/>
      <c r="B441" s="139"/>
      <c r="C441" s="139"/>
      <c r="D441" s="156"/>
      <c r="E441" s="139"/>
      <c r="F441" s="139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  <c r="T441" s="139"/>
      <c r="U441" s="139"/>
      <c r="V441" s="139"/>
      <c r="W441" s="139"/>
      <c r="X441" s="139"/>
      <c r="Y441" s="139"/>
      <c r="Z441" s="139"/>
    </row>
    <row r="442" spans="1:26" s="115" customFormat="1">
      <c r="A442" s="139"/>
      <c r="B442" s="139"/>
      <c r="C442" s="139"/>
      <c r="D442" s="156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</row>
    <row r="443" spans="1:26" s="115" customFormat="1">
      <c r="A443" s="139"/>
      <c r="B443" s="139"/>
      <c r="C443" s="139"/>
      <c r="D443" s="156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</row>
    <row r="444" spans="1:26" s="115" customFormat="1">
      <c r="A444" s="139"/>
      <c r="B444" s="139"/>
      <c r="C444" s="139"/>
      <c r="D444" s="156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</row>
    <row r="445" spans="1:26" s="355" customFormat="1">
      <c r="A445" s="139"/>
      <c r="B445" s="139"/>
      <c r="C445" s="139"/>
      <c r="D445" s="156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</row>
    <row r="446" spans="1:26" s="372" customFormat="1">
      <c r="A446" s="139"/>
      <c r="B446" s="139"/>
      <c r="C446" s="139"/>
      <c r="D446" s="156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  <c r="Y446" s="139"/>
      <c r="Z446" s="139"/>
    </row>
    <row r="447" spans="1:26" s="355" customFormat="1">
      <c r="A447" s="139"/>
      <c r="B447" s="139"/>
      <c r="C447" s="139"/>
      <c r="D447" s="156"/>
      <c r="E447" s="139"/>
      <c r="F447" s="139"/>
      <c r="G447" s="139"/>
      <c r="H447" s="139"/>
      <c r="I447" s="139"/>
      <c r="J447" s="139"/>
      <c r="K447" s="139"/>
      <c r="L447" s="139"/>
      <c r="M447" s="139"/>
      <c r="N447" s="139"/>
      <c r="O447" s="139"/>
      <c r="P447" s="139"/>
      <c r="Q447" s="139"/>
      <c r="R447" s="139"/>
      <c r="S447" s="139"/>
      <c r="T447" s="139"/>
      <c r="U447" s="139"/>
      <c r="V447" s="139"/>
      <c r="W447" s="139"/>
      <c r="X447" s="139"/>
      <c r="Y447" s="139"/>
      <c r="Z447" s="139"/>
    </row>
    <row r="448" spans="1:26" s="115" customFormat="1">
      <c r="A448" s="139"/>
      <c r="B448" s="139"/>
      <c r="C448" s="139"/>
      <c r="D448" s="156"/>
      <c r="E448" s="139"/>
      <c r="F448" s="139"/>
      <c r="G448" s="139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  <c r="S448" s="139"/>
      <c r="T448" s="139"/>
      <c r="U448" s="139"/>
      <c r="V448" s="139"/>
      <c r="W448" s="139"/>
      <c r="X448" s="139"/>
      <c r="Y448" s="139"/>
      <c r="Z448" s="139"/>
    </row>
    <row r="449" spans="1:26" s="355" customFormat="1">
      <c r="A449" s="139"/>
      <c r="B449" s="139"/>
      <c r="C449" s="139"/>
      <c r="D449" s="156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  <c r="Y449" s="139"/>
      <c r="Z449" s="139"/>
    </row>
    <row r="450" spans="1:26" s="115" customFormat="1">
      <c r="A450" s="139"/>
      <c r="B450" s="139"/>
      <c r="C450" s="139"/>
      <c r="D450" s="156"/>
      <c r="E450" s="139"/>
      <c r="F450" s="139"/>
      <c r="G450" s="139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  <c r="T450" s="139"/>
      <c r="U450" s="139"/>
      <c r="V450" s="139"/>
      <c r="W450" s="139"/>
      <c r="X450" s="139"/>
      <c r="Y450" s="139"/>
      <c r="Z450" s="139"/>
    </row>
    <row r="451" spans="1:26" s="355" customFormat="1">
      <c r="A451" s="139"/>
      <c r="B451" s="139"/>
      <c r="C451" s="139"/>
      <c r="D451" s="156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</row>
    <row r="452" spans="1:26" s="355" customFormat="1">
      <c r="A452" s="139"/>
      <c r="B452" s="139"/>
      <c r="C452" s="139"/>
      <c r="D452" s="156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</row>
    <row r="453" spans="1:26" s="392" customFormat="1">
      <c r="A453" s="139"/>
      <c r="B453" s="139"/>
      <c r="C453" s="139"/>
      <c r="D453" s="156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</row>
    <row r="454" spans="1:26" s="383" customFormat="1">
      <c r="A454" s="139"/>
      <c r="B454" s="139"/>
      <c r="C454" s="139"/>
      <c r="D454" s="156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</row>
    <row r="455" spans="1:26" s="408" customFormat="1">
      <c r="A455" s="139"/>
      <c r="B455" s="139"/>
      <c r="C455" s="139"/>
      <c r="D455" s="267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</row>
    <row r="456" spans="1:26" s="355" customFormat="1">
      <c r="A456" s="139"/>
      <c r="B456" s="139"/>
      <c r="C456" s="139"/>
      <c r="D456" s="267"/>
      <c r="E456" s="139"/>
      <c r="F456" s="139"/>
      <c r="G456" s="139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  <c r="S456" s="139"/>
      <c r="T456" s="139"/>
      <c r="U456" s="139"/>
      <c r="V456" s="139"/>
      <c r="W456" s="139"/>
      <c r="X456" s="139"/>
      <c r="Y456" s="139"/>
      <c r="Z456" s="139"/>
    </row>
    <row r="457" spans="1:26" s="372" customFormat="1">
      <c r="A457" s="139"/>
      <c r="B457" s="139"/>
      <c r="C457" s="139"/>
      <c r="D457" s="156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</row>
    <row r="458" spans="1:26" s="194" customFormat="1" ht="13.2">
      <c r="A458" s="139"/>
      <c r="B458" s="139"/>
      <c r="C458" s="139"/>
      <c r="D458" s="156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</row>
    <row r="459" spans="1:26">
      <c r="D459" s="156"/>
    </row>
    <row r="460" spans="1:26">
      <c r="D460" s="156"/>
    </row>
    <row r="461" spans="1:26">
      <c r="D461" s="156"/>
    </row>
    <row r="462" spans="1:26">
      <c r="A462" s="136"/>
      <c r="B462" s="136"/>
      <c r="C462" s="136"/>
      <c r="D462" s="136"/>
    </row>
    <row r="463" spans="1:26">
      <c r="A463" s="136"/>
      <c r="B463" s="136"/>
      <c r="C463" s="136"/>
      <c r="D463" s="136"/>
    </row>
    <row r="464" spans="1:26">
      <c r="A464" s="136"/>
      <c r="B464" s="136"/>
      <c r="C464" s="136"/>
      <c r="D464" s="136"/>
    </row>
    <row r="465" spans="1:26">
      <c r="A465" s="136"/>
      <c r="B465" s="136"/>
      <c r="C465" s="136"/>
      <c r="D465" s="136"/>
    </row>
    <row r="466" spans="1:26">
      <c r="A466" s="136"/>
      <c r="B466" s="136"/>
      <c r="C466" s="136"/>
      <c r="D466" s="136"/>
    </row>
    <row r="467" spans="1:26">
      <c r="A467" s="136"/>
      <c r="B467" s="136"/>
      <c r="C467" s="136"/>
      <c r="D467" s="136"/>
    </row>
    <row r="468" spans="1:26">
      <c r="A468" s="136"/>
      <c r="B468" s="136"/>
      <c r="C468" s="136"/>
      <c r="D468" s="136"/>
    </row>
    <row r="469" spans="1:26" s="335" customFormat="1" ht="13.2">
      <c r="A469" s="136"/>
      <c r="B469" s="136"/>
      <c r="C469" s="136"/>
      <c r="D469" s="136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</row>
    <row r="470" spans="1:26">
      <c r="A470" s="136"/>
      <c r="B470" s="136"/>
      <c r="C470" s="136"/>
      <c r="D470" s="136"/>
    </row>
    <row r="471" spans="1:26" s="115" customFormat="1" ht="13.2">
      <c r="A471" s="194"/>
      <c r="B471" s="194"/>
      <c r="C471" s="194"/>
      <c r="D471" s="194"/>
      <c r="E471" s="194"/>
      <c r="F471" s="194"/>
      <c r="G471" s="194"/>
      <c r="H471" s="194"/>
      <c r="I471" s="194"/>
      <c r="J471" s="194"/>
      <c r="K471" s="194"/>
      <c r="L471" s="194"/>
      <c r="M471" s="194"/>
      <c r="N471" s="194"/>
      <c r="O471" s="194"/>
      <c r="P471" s="194"/>
      <c r="Q471" s="194"/>
      <c r="R471" s="194"/>
      <c r="S471" s="194"/>
      <c r="T471" s="194"/>
      <c r="U471" s="194"/>
      <c r="V471" s="194"/>
      <c r="W471" s="194"/>
      <c r="X471" s="194"/>
      <c r="Y471" s="194"/>
      <c r="Z471" s="194"/>
    </row>
    <row r="472" spans="1:26" s="8" customFormat="1" ht="13.2">
      <c r="A472" s="335"/>
      <c r="B472" s="335"/>
      <c r="C472" s="335"/>
      <c r="D472" s="335"/>
      <c r="E472" s="335"/>
      <c r="F472" s="335"/>
      <c r="G472" s="335"/>
      <c r="H472" s="335"/>
      <c r="I472" s="335"/>
      <c r="J472" s="335"/>
      <c r="K472" s="335"/>
      <c r="L472" s="335"/>
      <c r="M472" s="335"/>
      <c r="N472" s="335"/>
      <c r="O472" s="335"/>
      <c r="P472" s="335"/>
      <c r="Q472" s="335"/>
      <c r="R472" s="335"/>
      <c r="S472" s="335"/>
      <c r="T472" s="335"/>
      <c r="U472" s="335"/>
      <c r="V472" s="335"/>
      <c r="W472" s="335"/>
      <c r="X472" s="335"/>
      <c r="Y472" s="335"/>
      <c r="Z472" s="335"/>
    </row>
    <row r="473" spans="1:26" s="8" customFormat="1" ht="13.2">
      <c r="A473" s="335"/>
      <c r="B473" s="335"/>
      <c r="C473" s="335"/>
      <c r="D473" s="335"/>
      <c r="E473" s="335"/>
      <c r="F473" s="335"/>
      <c r="G473" s="335"/>
      <c r="H473" s="335"/>
      <c r="I473" s="335"/>
      <c r="J473" s="335"/>
      <c r="K473" s="335"/>
      <c r="L473" s="335"/>
      <c r="M473" s="335"/>
      <c r="N473" s="335"/>
      <c r="O473" s="335"/>
      <c r="P473" s="335"/>
      <c r="Q473" s="335"/>
      <c r="R473" s="335"/>
      <c r="S473" s="335"/>
      <c r="T473" s="335"/>
      <c r="U473" s="335"/>
      <c r="V473" s="335"/>
      <c r="W473" s="335"/>
      <c r="X473" s="335"/>
      <c r="Y473" s="335"/>
      <c r="Z473" s="335"/>
    </row>
    <row r="474" spans="1:26" s="355" customFormat="1" ht="13.2">
      <c r="A474" s="335"/>
      <c r="B474" s="335"/>
      <c r="C474" s="335"/>
      <c r="D474" s="335"/>
      <c r="E474" s="335"/>
      <c r="F474" s="335"/>
      <c r="G474" s="335"/>
      <c r="H474" s="335"/>
      <c r="I474" s="335"/>
      <c r="J474" s="335"/>
      <c r="K474" s="335"/>
      <c r="L474" s="335"/>
      <c r="M474" s="335"/>
      <c r="N474" s="335"/>
      <c r="O474" s="335"/>
      <c r="P474" s="335"/>
      <c r="Q474" s="335"/>
      <c r="R474" s="335"/>
      <c r="S474" s="335"/>
      <c r="T474" s="335"/>
      <c r="U474" s="335"/>
      <c r="V474" s="335"/>
      <c r="W474" s="335"/>
      <c r="X474" s="335"/>
      <c r="Y474" s="335"/>
      <c r="Z474" s="335"/>
    </row>
    <row r="475" spans="1:26" s="355" customFormat="1" ht="13.2">
      <c r="A475" s="335"/>
      <c r="B475" s="335"/>
      <c r="C475" s="335"/>
      <c r="D475" s="335"/>
      <c r="E475" s="335"/>
      <c r="F475" s="335"/>
      <c r="G475" s="335"/>
      <c r="H475" s="335"/>
      <c r="I475" s="335"/>
      <c r="J475" s="335"/>
      <c r="K475" s="335"/>
      <c r="L475" s="335"/>
      <c r="M475" s="335"/>
      <c r="N475" s="335"/>
      <c r="O475" s="335"/>
      <c r="P475" s="335"/>
      <c r="Q475" s="335"/>
      <c r="R475" s="335"/>
      <c r="S475" s="335"/>
      <c r="T475" s="335"/>
      <c r="U475" s="335"/>
      <c r="V475" s="335"/>
      <c r="W475" s="335"/>
      <c r="X475" s="335"/>
      <c r="Y475" s="335"/>
      <c r="Z475" s="335"/>
    </row>
    <row r="476" spans="1:26" s="355" customFormat="1" ht="13.2">
      <c r="A476" s="335"/>
      <c r="B476" s="335"/>
      <c r="C476" s="335"/>
      <c r="D476" s="335"/>
      <c r="E476" s="335"/>
      <c r="F476" s="335"/>
      <c r="G476" s="335"/>
      <c r="H476" s="335"/>
      <c r="I476" s="335"/>
      <c r="J476" s="335"/>
      <c r="K476" s="335"/>
      <c r="L476" s="335"/>
      <c r="M476" s="335"/>
      <c r="N476" s="335"/>
      <c r="O476" s="335"/>
      <c r="P476" s="335"/>
      <c r="Q476" s="335"/>
      <c r="R476" s="335"/>
      <c r="S476" s="335"/>
      <c r="T476" s="335"/>
      <c r="U476" s="335"/>
      <c r="V476" s="335"/>
      <c r="W476" s="335"/>
      <c r="X476" s="335"/>
      <c r="Y476" s="335"/>
      <c r="Z476" s="335"/>
    </row>
    <row r="477" spans="1:26" s="355" customFormat="1" ht="13.2">
      <c r="A477" s="302" t="s">
        <v>18</v>
      </c>
      <c r="B477" s="302"/>
      <c r="C477" s="302"/>
      <c r="D477" s="306" t="s">
        <v>1743</v>
      </c>
      <c r="E477" s="302"/>
      <c r="F477" s="302"/>
      <c r="G477" s="302"/>
      <c r="H477" s="302"/>
      <c r="I477" s="302"/>
      <c r="J477" s="302"/>
      <c r="K477" s="302"/>
      <c r="L477" s="302"/>
      <c r="M477" s="302"/>
      <c r="N477" s="302"/>
      <c r="O477" s="302"/>
      <c r="P477" s="302"/>
      <c r="Q477" s="302"/>
      <c r="R477" s="302"/>
      <c r="S477" s="302"/>
      <c r="T477" s="302"/>
      <c r="U477" s="302"/>
      <c r="V477" s="302"/>
      <c r="W477" s="302"/>
      <c r="X477" s="302"/>
      <c r="Y477" s="302"/>
      <c r="Z477" s="302"/>
    </row>
    <row r="478" spans="1:26" s="115" customFormat="1" ht="13.2">
      <c r="A478" s="139"/>
      <c r="B478" s="139"/>
      <c r="C478" s="139"/>
      <c r="D478" s="264"/>
      <c r="E478" s="139"/>
      <c r="F478" s="139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  <c r="T478" s="139"/>
      <c r="U478" s="139"/>
      <c r="V478" s="139"/>
      <c r="W478" s="139"/>
      <c r="X478" s="139"/>
      <c r="Y478" s="139"/>
      <c r="Z478" s="139"/>
    </row>
    <row r="479" spans="1:26" s="115" customFormat="1" ht="13.2">
      <c r="A479" s="139"/>
      <c r="B479" s="139"/>
      <c r="C479" s="139"/>
      <c r="D479" s="264"/>
      <c r="E479" s="139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  <c r="S479" s="139"/>
      <c r="T479" s="139"/>
      <c r="U479" s="139"/>
      <c r="V479" s="139"/>
      <c r="W479" s="139"/>
      <c r="X479" s="139"/>
      <c r="Y479" s="139"/>
      <c r="Z479" s="139"/>
    </row>
    <row r="480" spans="1:26" s="115" customFormat="1" ht="13.2">
      <c r="A480" s="139"/>
      <c r="B480" s="139"/>
      <c r="C480" s="139"/>
      <c r="D480" s="264"/>
      <c r="E480" s="139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139"/>
      <c r="R480" s="139"/>
      <c r="S480" s="139"/>
      <c r="T480" s="139"/>
      <c r="U480" s="139"/>
      <c r="V480" s="139"/>
      <c r="W480" s="139"/>
      <c r="X480" s="139"/>
      <c r="Y480" s="139"/>
      <c r="Z480" s="139"/>
    </row>
    <row r="481" spans="1:26" s="8" customFormat="1" ht="13.2">
      <c r="A481" s="139"/>
      <c r="B481" s="139"/>
      <c r="C481" s="139"/>
      <c r="D481" s="264"/>
      <c r="E481" s="139"/>
      <c r="F481" s="139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  <c r="S481" s="139"/>
      <c r="T481" s="139"/>
      <c r="U481" s="139"/>
      <c r="V481" s="139"/>
      <c r="W481" s="139"/>
      <c r="X481" s="139"/>
      <c r="Y481" s="139"/>
      <c r="Z481" s="139"/>
    </row>
    <row r="482" spans="1:26" s="291" customFormat="1" ht="13.2">
      <c r="A482" s="194"/>
      <c r="B482" s="194"/>
      <c r="C482" s="194"/>
      <c r="D482" s="194"/>
      <c r="E482" s="194"/>
      <c r="F482" s="194"/>
      <c r="G482" s="194"/>
      <c r="H482" s="194"/>
      <c r="I482" s="194"/>
      <c r="J482" s="194"/>
      <c r="K482" s="194"/>
      <c r="L482" s="194"/>
      <c r="M482" s="194"/>
      <c r="N482" s="194"/>
      <c r="O482" s="194"/>
      <c r="P482" s="194"/>
      <c r="Q482" s="194"/>
      <c r="R482" s="194"/>
      <c r="S482" s="194"/>
      <c r="T482" s="194"/>
      <c r="U482" s="194"/>
      <c r="V482" s="194"/>
      <c r="W482" s="194"/>
      <c r="X482" s="194"/>
      <c r="Y482" s="194"/>
      <c r="Z482" s="194"/>
    </row>
    <row r="483" spans="1:26" s="8" customFormat="1">
      <c r="A483" s="136"/>
      <c r="B483" s="136"/>
      <c r="C483" s="136"/>
      <c r="D483" s="136"/>
      <c r="E483" s="139"/>
      <c r="F483" s="139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  <c r="R483" s="139"/>
      <c r="S483" s="139"/>
      <c r="T483" s="139"/>
      <c r="U483" s="139"/>
      <c r="V483" s="139"/>
      <c r="W483" s="139"/>
      <c r="X483" s="139"/>
      <c r="Y483" s="139"/>
      <c r="Z483" s="139"/>
    </row>
    <row r="484" spans="1:26" s="8" customFormat="1">
      <c r="A484" s="136"/>
      <c r="B484" s="136"/>
      <c r="C484" s="136"/>
      <c r="D484" s="136"/>
      <c r="E484" s="139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  <c r="T484" s="139"/>
      <c r="U484" s="139"/>
      <c r="V484" s="139"/>
      <c r="W484" s="139"/>
      <c r="X484" s="139"/>
      <c r="Y484" s="139"/>
      <c r="Z484" s="139"/>
    </row>
    <row r="485" spans="1:26" s="115" customFormat="1">
      <c r="A485" s="136"/>
      <c r="B485" s="136"/>
      <c r="C485" s="136"/>
      <c r="D485" s="136"/>
      <c r="E485" s="139"/>
      <c r="F485" s="139"/>
      <c r="G485" s="139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  <c r="T485" s="139"/>
      <c r="U485" s="139"/>
      <c r="V485" s="139"/>
      <c r="W485" s="139"/>
      <c r="X485" s="139"/>
      <c r="Y485" s="139"/>
      <c r="Z485" s="139"/>
    </row>
    <row r="486" spans="1:26" s="8" customFormat="1">
      <c r="A486" s="136"/>
      <c r="B486" s="136"/>
      <c r="C486" s="136"/>
      <c r="D486" s="136"/>
      <c r="E486" s="139"/>
      <c r="F486" s="139"/>
      <c r="G486" s="139"/>
      <c r="H486" s="139"/>
      <c r="I486" s="139"/>
      <c r="J486" s="139"/>
      <c r="K486" s="139"/>
      <c r="L486" s="139"/>
      <c r="M486" s="139"/>
      <c r="N486" s="139"/>
      <c r="O486" s="139"/>
      <c r="P486" s="139"/>
      <c r="Q486" s="139"/>
      <c r="R486" s="139"/>
      <c r="S486" s="139"/>
      <c r="T486" s="139"/>
      <c r="U486" s="139"/>
      <c r="V486" s="139"/>
      <c r="W486" s="139"/>
      <c r="X486" s="139"/>
      <c r="Y486" s="139"/>
      <c r="Z486" s="139"/>
    </row>
    <row r="487" spans="1:26" s="8" customFormat="1">
      <c r="A487" s="136"/>
      <c r="B487" s="136"/>
      <c r="C487" s="136"/>
      <c r="D487" s="136"/>
      <c r="E487" s="139"/>
      <c r="F487" s="139"/>
      <c r="G487" s="139"/>
      <c r="H487" s="139"/>
      <c r="I487" s="139"/>
      <c r="J487" s="139"/>
      <c r="K487" s="139"/>
      <c r="L487" s="139"/>
      <c r="M487" s="139"/>
      <c r="N487" s="139"/>
      <c r="O487" s="139"/>
      <c r="P487" s="139"/>
      <c r="Q487" s="139"/>
      <c r="R487" s="139"/>
      <c r="S487" s="139"/>
      <c r="T487" s="139"/>
      <c r="U487" s="139"/>
      <c r="V487" s="139"/>
      <c r="W487" s="139"/>
      <c r="X487" s="139"/>
      <c r="Y487" s="139"/>
      <c r="Z487" s="139"/>
    </row>
    <row r="488" spans="1:26" s="8" customFormat="1">
      <c r="A488" s="136"/>
      <c r="B488" s="136"/>
      <c r="C488" s="136"/>
      <c r="D488" s="136"/>
      <c r="E488" s="139"/>
      <c r="F488" s="139"/>
      <c r="G488" s="139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  <c r="R488" s="139"/>
      <c r="S488" s="139"/>
      <c r="T488" s="139"/>
      <c r="U488" s="139"/>
      <c r="V488" s="139"/>
      <c r="W488" s="139"/>
      <c r="X488" s="139"/>
      <c r="Y488" s="139"/>
      <c r="Z488" s="139"/>
    </row>
    <row r="489" spans="1:26" s="8" customFormat="1">
      <c r="A489" s="136"/>
      <c r="B489" s="136"/>
      <c r="C489" s="136"/>
      <c r="D489" s="136"/>
      <c r="E489" s="139"/>
      <c r="F489" s="139"/>
      <c r="G489" s="139"/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  <c r="R489" s="139"/>
      <c r="S489" s="139"/>
      <c r="T489" s="139"/>
      <c r="U489" s="139"/>
      <c r="V489" s="139"/>
      <c r="W489" s="139"/>
      <c r="X489" s="139"/>
      <c r="Y489" s="139"/>
      <c r="Z489" s="139"/>
    </row>
    <row r="490" spans="1:26" s="8" customFormat="1">
      <c r="A490" s="139"/>
      <c r="B490" s="139"/>
      <c r="C490" s="139"/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  <c r="R490" s="139"/>
      <c r="S490" s="139"/>
      <c r="T490" s="139"/>
      <c r="U490" s="139"/>
      <c r="V490" s="139"/>
      <c r="W490" s="139"/>
      <c r="X490" s="139"/>
      <c r="Y490" s="139"/>
      <c r="Z490" s="139"/>
    </row>
    <row r="491" spans="1:26">
      <c r="D491" s="156"/>
    </row>
    <row r="492" spans="1:26" s="194" customFormat="1" ht="13.2">
      <c r="A492" s="139"/>
      <c r="B492" s="139"/>
      <c r="C492" s="139"/>
      <c r="D492" s="156"/>
      <c r="E492" s="139"/>
      <c r="F492" s="139"/>
      <c r="G492" s="139"/>
      <c r="H492" s="139"/>
      <c r="I492" s="139"/>
      <c r="J492" s="139"/>
      <c r="K492" s="139"/>
      <c r="L492" s="139"/>
      <c r="M492" s="139"/>
      <c r="N492" s="139"/>
      <c r="O492" s="139"/>
      <c r="P492" s="139"/>
      <c r="Q492" s="139"/>
      <c r="R492" s="139"/>
      <c r="S492" s="139"/>
      <c r="T492" s="139"/>
      <c r="U492" s="139"/>
      <c r="V492" s="139"/>
      <c r="W492" s="139"/>
      <c r="X492" s="139"/>
      <c r="Y492" s="139"/>
      <c r="Z492" s="139"/>
    </row>
    <row r="493" spans="1:26" ht="13.2">
      <c r="A493" s="335"/>
      <c r="B493" s="335"/>
      <c r="C493" s="335"/>
      <c r="D493" s="335"/>
      <c r="E493" s="335"/>
      <c r="F493" s="335"/>
      <c r="G493" s="335"/>
      <c r="H493" s="335"/>
      <c r="I493" s="335"/>
      <c r="J493" s="335"/>
      <c r="K493" s="335"/>
      <c r="L493" s="335"/>
      <c r="M493" s="335"/>
      <c r="N493" s="335"/>
      <c r="O493" s="335"/>
      <c r="P493" s="335"/>
      <c r="Q493" s="335"/>
      <c r="R493" s="335"/>
      <c r="S493" s="335"/>
      <c r="T493" s="335"/>
      <c r="U493" s="335"/>
      <c r="V493" s="335"/>
      <c r="W493" s="335"/>
      <c r="X493" s="335"/>
      <c r="Y493" s="335"/>
      <c r="Z493" s="335"/>
    </row>
    <row r="494" spans="1:26" ht="13.2">
      <c r="A494" s="194"/>
      <c r="B494" s="194"/>
      <c r="C494" s="194"/>
      <c r="D494" s="194"/>
      <c r="E494" s="194"/>
      <c r="F494" s="194"/>
      <c r="G494" s="194"/>
      <c r="H494" s="194"/>
      <c r="I494" s="194"/>
      <c r="J494" s="194"/>
      <c r="K494" s="194"/>
      <c r="L494" s="194"/>
      <c r="M494" s="194"/>
      <c r="N494" s="194"/>
      <c r="O494" s="194"/>
      <c r="P494" s="194"/>
      <c r="Q494" s="194"/>
      <c r="R494" s="194"/>
      <c r="S494" s="194"/>
      <c r="T494" s="194"/>
      <c r="U494" s="194"/>
      <c r="V494" s="194"/>
      <c r="W494" s="194"/>
      <c r="X494" s="194"/>
      <c r="Y494" s="194"/>
      <c r="Z494" s="194"/>
    </row>
    <row r="495" spans="1:26">
      <c r="A495" s="136"/>
      <c r="B495" s="136"/>
      <c r="C495" s="136"/>
      <c r="D495" s="136"/>
    </row>
    <row r="496" spans="1:26">
      <c r="A496" s="136"/>
      <c r="B496" s="136"/>
      <c r="C496" s="136"/>
    </row>
    <row r="497" spans="1:26">
      <c r="A497" s="136"/>
      <c r="B497" s="136"/>
      <c r="C497" s="136"/>
    </row>
    <row r="498" spans="1:26">
      <c r="A498" s="136"/>
      <c r="B498" s="136"/>
      <c r="C498" s="136"/>
    </row>
    <row r="499" spans="1:26" ht="15.6">
      <c r="A499" s="136"/>
      <c r="B499" s="136"/>
      <c r="C499" s="136"/>
      <c r="D499" s="366"/>
    </row>
    <row r="500" spans="1:26">
      <c r="A500" s="136"/>
      <c r="B500" s="136"/>
      <c r="C500" s="136"/>
      <c r="D500" s="136"/>
    </row>
    <row r="501" spans="1:26">
      <c r="A501" s="136"/>
      <c r="B501" s="136"/>
      <c r="C501" s="136"/>
      <c r="D501" s="136"/>
    </row>
    <row r="503" spans="1:26">
      <c r="D503" s="156"/>
    </row>
    <row r="504" spans="1:26">
      <c r="D504" s="156"/>
    </row>
    <row r="505" spans="1:26" ht="13.2">
      <c r="A505" s="335"/>
      <c r="B505" s="335"/>
      <c r="C505" s="335"/>
      <c r="D505" s="335"/>
      <c r="E505" s="335"/>
      <c r="F505" s="335"/>
      <c r="G505" s="335"/>
      <c r="H505" s="335"/>
      <c r="I505" s="335"/>
      <c r="J505" s="335"/>
      <c r="K505" s="335"/>
      <c r="L505" s="335"/>
      <c r="M505" s="335"/>
      <c r="N505" s="335"/>
      <c r="O505" s="335"/>
      <c r="P505" s="335"/>
      <c r="Q505" s="335"/>
      <c r="R505" s="335"/>
      <c r="S505" s="335"/>
      <c r="T505" s="335"/>
      <c r="U505" s="335"/>
      <c r="V505" s="335"/>
      <c r="W505" s="335"/>
      <c r="X505" s="335"/>
      <c r="Y505" s="335"/>
      <c r="Z505" s="335"/>
    </row>
    <row r="506" spans="1:26" ht="13.2">
      <c r="D506" s="264"/>
    </row>
    <row r="507" spans="1:26">
      <c r="A507" s="8"/>
      <c r="B507" s="8"/>
      <c r="C507" s="8"/>
      <c r="D507" s="49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</row>
    <row r="508" spans="1:26">
      <c r="A508" s="8"/>
      <c r="B508" s="8"/>
      <c r="C508" s="8"/>
      <c r="D508" s="49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</row>
    <row r="509" spans="1:26">
      <c r="A509" s="8"/>
      <c r="B509" s="8"/>
      <c r="C509" s="8"/>
      <c r="D509" s="49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</row>
    <row r="510" spans="1:26">
      <c r="A510" s="8"/>
      <c r="B510" s="8"/>
      <c r="C510" s="8"/>
      <c r="D510" s="49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</row>
    <row r="511" spans="1:26">
      <c r="A511" s="8"/>
      <c r="B511" s="8"/>
      <c r="C511" s="8"/>
      <c r="D511" s="49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</row>
    <row r="512" spans="1:26">
      <c r="A512" s="8"/>
      <c r="B512" s="8"/>
      <c r="C512" s="8"/>
      <c r="D512" s="49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</row>
    <row r="513" spans="1:26">
      <c r="A513" s="8"/>
      <c r="B513" s="8"/>
      <c r="C513" s="8"/>
      <c r="D513" s="49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</row>
    <row r="514" spans="1:26">
      <c r="A514" s="8"/>
      <c r="B514" s="8"/>
      <c r="C514" s="8"/>
      <c r="D514" s="49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</row>
    <row r="515" spans="1:26" ht="13.2">
      <c r="A515" s="8"/>
      <c r="B515" s="8"/>
      <c r="C515" s="8"/>
      <c r="D515" s="405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</row>
    <row r="516" spans="1:26" ht="13.2">
      <c r="A516" s="8"/>
      <c r="B516" s="8"/>
      <c r="C516" s="8"/>
      <c r="D516" s="2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</row>
    <row r="517" spans="1:26" ht="13.2">
      <c r="D517" s="264"/>
    </row>
    <row r="518" spans="1:26" ht="13.2">
      <c r="A518" s="194"/>
      <c r="B518" s="194"/>
      <c r="C518" s="194"/>
      <c r="D518" s="194"/>
      <c r="E518" s="194"/>
      <c r="F518" s="194"/>
      <c r="G518" s="194"/>
      <c r="H518" s="194"/>
      <c r="I518" s="194"/>
      <c r="J518" s="194"/>
      <c r="K518" s="194"/>
      <c r="L518" s="194"/>
      <c r="M518" s="194"/>
      <c r="N518" s="194"/>
      <c r="O518" s="194"/>
      <c r="P518" s="194"/>
      <c r="Q518" s="194"/>
      <c r="R518" s="194"/>
      <c r="S518" s="194"/>
      <c r="T518" s="194"/>
      <c r="U518" s="194"/>
      <c r="V518" s="194"/>
      <c r="W518" s="194"/>
      <c r="X518" s="194"/>
      <c r="Y518" s="194"/>
      <c r="Z518" s="194"/>
    </row>
    <row r="519" spans="1:26">
      <c r="A519" s="136"/>
      <c r="B519" s="136"/>
      <c r="C519" s="136"/>
      <c r="D519" s="136"/>
    </row>
    <row r="520" spans="1:26">
      <c r="A520" s="136"/>
      <c r="B520" s="136"/>
      <c r="C520" s="136"/>
    </row>
    <row r="521" spans="1:26">
      <c r="A521" s="136"/>
      <c r="B521" s="136"/>
      <c r="C521" s="136"/>
    </row>
    <row r="522" spans="1:26">
      <c r="A522" s="136"/>
      <c r="B522" s="136"/>
      <c r="C522" s="136"/>
    </row>
    <row r="523" spans="1:26" ht="15.6">
      <c r="A523" s="136"/>
      <c r="B523" s="136"/>
      <c r="C523" s="136"/>
      <c r="D523" s="366"/>
    </row>
    <row r="524" spans="1:26">
      <c r="A524" s="136"/>
      <c r="B524" s="136"/>
      <c r="C524" s="136"/>
      <c r="D524" s="136"/>
    </row>
    <row r="525" spans="1:26">
      <c r="A525" s="136"/>
      <c r="B525" s="136"/>
      <c r="C525" s="136"/>
      <c r="D525" s="136"/>
    </row>
    <row r="526" spans="1:26">
      <c r="D526" s="156"/>
    </row>
    <row r="527" spans="1:26" ht="10.8" thickBot="1">
      <c r="A527" s="165"/>
      <c r="B527" s="165"/>
      <c r="C527" s="165"/>
      <c r="D527" s="428"/>
    </row>
    <row r="528" spans="1:26">
      <c r="D528" s="156"/>
    </row>
    <row r="529" spans="1:4" ht="10.8" thickBot="1">
      <c r="D529" s="156"/>
    </row>
    <row r="530" spans="1:4">
      <c r="A530" s="196"/>
      <c r="B530" s="196"/>
      <c r="C530" s="196"/>
      <c r="D530" s="431"/>
    </row>
    <row r="531" spans="1:4">
      <c r="D531" s="156"/>
    </row>
    <row r="532" spans="1:4">
      <c r="D532" s="156"/>
    </row>
    <row r="537" spans="1:4" ht="10.8" thickBot="1">
      <c r="A537" s="165"/>
      <c r="B537" s="165"/>
      <c r="C537" s="165"/>
      <c r="D537" s="165"/>
    </row>
    <row r="541" spans="1:4">
      <c r="D541" s="139" t="s">
        <v>469</v>
      </c>
    </row>
    <row r="549" spans="1:4">
      <c r="A549" s="136"/>
      <c r="B549" s="136"/>
      <c r="C549" s="136"/>
      <c r="D549" s="136"/>
    </row>
    <row r="550" spans="1:4">
      <c r="D550" s="156"/>
    </row>
    <row r="551" spans="1:4">
      <c r="D551" s="156"/>
    </row>
    <row r="552" spans="1:4">
      <c r="D552" s="156"/>
    </row>
    <row r="553" spans="1:4">
      <c r="D553" s="156"/>
    </row>
    <row r="554" spans="1:4">
      <c r="D554" s="156"/>
    </row>
    <row r="555" spans="1:4">
      <c r="D555" s="156"/>
    </row>
    <row r="556" spans="1:4">
      <c r="D556" s="156"/>
    </row>
    <row r="557" spans="1:4">
      <c r="D557" s="156"/>
    </row>
    <row r="558" spans="1:4">
      <c r="D558" s="156"/>
    </row>
    <row r="559" spans="1:4">
      <c r="D559" s="156"/>
    </row>
    <row r="560" spans="1:4">
      <c r="D560" s="156"/>
    </row>
    <row r="561" spans="4:4">
      <c r="D561" s="156"/>
    </row>
    <row r="562" spans="4:4">
      <c r="D562" s="156"/>
    </row>
    <row r="563" spans="4:4">
      <c r="D563" s="156"/>
    </row>
    <row r="564" spans="4:4">
      <c r="D564" s="156"/>
    </row>
    <row r="565" spans="4:4">
      <c r="D565" s="156"/>
    </row>
    <row r="566" spans="4:4">
      <c r="D566" s="156"/>
    </row>
    <row r="567" spans="4:4">
      <c r="D567" s="156"/>
    </row>
    <row r="568" spans="4:4">
      <c r="D568" s="156"/>
    </row>
    <row r="569" spans="4:4">
      <c r="D569" s="156"/>
    </row>
    <row r="570" spans="4:4">
      <c r="D570" s="156"/>
    </row>
    <row r="571" spans="4:4">
      <c r="D571" s="156"/>
    </row>
    <row r="572" spans="4:4">
      <c r="D572" s="156"/>
    </row>
    <row r="573" spans="4:4">
      <c r="D573" s="156"/>
    </row>
    <row r="574" spans="4:4">
      <c r="D574" s="156"/>
    </row>
    <row r="575" spans="4:4">
      <c r="D575" s="156"/>
    </row>
  </sheetData>
  <sortState xmlns:xlrd2="http://schemas.microsoft.com/office/spreadsheetml/2017/richdata2" ref="A3:Z541">
    <sortCondition ref="B2:B541"/>
  </sortState>
  <hyperlinks>
    <hyperlink ref="D3" r:id="rId1" xr:uid="{C4E73097-ED4A-4257-945F-F34A374E669D}"/>
    <hyperlink ref="D136" r:id="rId2" xr:uid="{CF1711DA-0C99-4A4F-A14E-AB100AF2902F}"/>
    <hyperlink ref="D135" r:id="rId3" xr:uid="{1E012ED8-FA26-4C33-B84A-A0C9E4AE30C9}"/>
    <hyperlink ref="D5" r:id="rId4" xr:uid="{AE23168A-E67A-4B22-B00D-1975F2B9CD09}"/>
    <hyperlink ref="D4" r:id="rId5" xr:uid="{28291A6F-8937-48B3-8018-F2E059122BE4}"/>
    <hyperlink ref="D134" r:id="rId6" xr:uid="{727A127F-8226-43DD-9045-FBDBFFD9A9AD}"/>
    <hyperlink ref="D2" r:id="rId7" xr:uid="{B6376995-5DE4-43A0-BCCA-CD9DBE031F40}"/>
    <hyperlink ref="D141" r:id="rId8" xr:uid="{9E5338A6-BCA4-40CA-9F11-19D1321AF2EA}"/>
    <hyperlink ref="D7" r:id="rId9" xr:uid="{22F8C926-F4F0-4229-86F5-80AA71CBEC6B}"/>
    <hyperlink ref="D143" r:id="rId10" xr:uid="{9C3EF86D-64F7-4076-BA63-6B3A14106662}"/>
    <hyperlink ref="D144" r:id="rId11" xr:uid="{58FE3025-B29C-42C3-916F-02620099F37C}"/>
    <hyperlink ref="D146" r:id="rId12" xr:uid="{1DE3972F-86CF-4A47-B815-D1BCCAC3D6CF}"/>
    <hyperlink ref="D148" r:id="rId13" xr:uid="{4C84CB38-55D8-44F8-AB97-EF9ED9AD0536}"/>
    <hyperlink ref="D6" r:id="rId14" xr:uid="{793B8743-150E-4124-BBB1-8F5F1FF1C99D}"/>
    <hyperlink ref="D147" r:id="rId15" xr:uid="{6A7D4278-5300-4A75-B7F5-BB1C1C940719}"/>
    <hyperlink ref="D9" r:id="rId16" xr:uid="{D3544C9B-01D1-4B9B-B8D7-27B9CDCBF7A4}"/>
    <hyperlink ref="D10" r:id="rId17" xr:uid="{F74B3269-4812-44C3-8C36-708052B32303}"/>
    <hyperlink ref="D11" r:id="rId18" xr:uid="{699047BE-8EA4-4457-9B69-4B4695A9B0ED}"/>
    <hyperlink ref="D150" r:id="rId19" xr:uid="{A647415A-9D89-4B03-8739-AEBA016429EF}"/>
    <hyperlink ref="D12" r:id="rId20" xr:uid="{033EC91E-A1FA-4067-8738-4767D826A4B9}"/>
    <hyperlink ref="D154" r:id="rId21" xr:uid="{39E10848-897E-433B-8E73-072C029BF60E}"/>
    <hyperlink ref="D157" r:id="rId22" xr:uid="{E4E2C4D3-6429-4F11-9BF5-3DE5BD335219}"/>
    <hyperlink ref="D19" r:id="rId23" xr:uid="{8BF233C1-627A-467B-B527-D780907CD18F}"/>
    <hyperlink ref="D16" r:id="rId24" xr:uid="{BABA3AAF-C7A5-4D4B-8C99-D4BB2C017A27}"/>
    <hyperlink ref="D20" r:id="rId25" xr:uid="{2D16CB49-F2D2-43E4-A023-2D3FF5F1B080}"/>
    <hyperlink ref="D152" r:id="rId26" xr:uid="{DC1C982C-E094-4143-9EEA-4A9A7CA1B559}"/>
    <hyperlink ref="D13" r:id="rId27" xr:uid="{E9837290-4614-4811-8750-2FCECE123503}"/>
    <hyperlink ref="D14" r:id="rId28" xr:uid="{E9F453E8-8BC6-4A25-8AE0-3E72C3876E60}"/>
    <hyperlink ref="D155" r:id="rId29" xr:uid="{9925EBF9-9E7D-4947-981E-EE8AAA95E096}"/>
    <hyperlink ref="D158" r:id="rId30" xr:uid="{AC08971F-C72E-45F0-BD59-C755652BDA39}"/>
    <hyperlink ref="D164" r:id="rId31" xr:uid="{C0CF4B7C-0F4E-4470-9FFD-8D6D5D0D1B35}"/>
    <hyperlink ref="D162" r:id="rId32" xr:uid="{61A02624-2261-4E9B-9B2B-54AB6F8997BD}"/>
    <hyperlink ref="D159" r:id="rId33" xr:uid="{B6EE6DC8-2013-4843-A210-DC0E65DB908B}"/>
    <hyperlink ref="D21" r:id="rId34" xr:uid="{7ED41B3C-D707-494E-960E-8E97C467D746}"/>
    <hyperlink ref="D169" r:id="rId35" xr:uid="{8E3F256D-4E4A-4529-8925-2A7966A0EDBC}"/>
    <hyperlink ref="D161" r:id="rId36" xr:uid="{D4E5768F-9E59-4E48-8C48-0C651EB3EBBC}"/>
    <hyperlink ref="D160" r:id="rId37" xr:uid="{85166977-8E04-42B2-A154-A0B9FEF53C7F}"/>
    <hyperlink ref="D163" r:id="rId38" xr:uid="{E5AFA23A-CE4B-4034-AFAF-4337561031D3}"/>
    <hyperlink ref="D168" r:id="rId39" xr:uid="{4CB72D18-8E84-4BA4-9EA3-9881539C7C7B}"/>
    <hyperlink ref="D29" r:id="rId40" xr:uid="{2AD140D3-45B8-4A04-A32F-A2AFF44FEC1A}"/>
    <hyperlink ref="D171" r:id="rId41" xr:uid="{B3AEAA3F-7A71-4BA9-AE9E-5E25E661D1D6}"/>
    <hyperlink ref="D170" r:id="rId42" display="mailto:kiki.tipunch@wanadoo.fr" xr:uid="{BAB9CC80-1075-4672-A952-7EDB40862542}"/>
    <hyperlink ref="D172" r:id="rId43" xr:uid="{63BE9CFC-3DA5-4D45-8F92-A99952362834}"/>
    <hyperlink ref="D23" r:id="rId44" xr:uid="{41A5C443-1274-4503-BC88-6B39077A05AD}"/>
    <hyperlink ref="D165" r:id="rId45" xr:uid="{99B457E1-F5BA-4249-8DEE-0382D026C5ED}"/>
    <hyperlink ref="D26" r:id="rId46" xr:uid="{097C4CEE-FD57-4432-B319-EF3807D14F31}"/>
    <hyperlink ref="D176" r:id="rId47" xr:uid="{961AB1CC-3126-4FC2-B42F-8C75A5BFF678}"/>
    <hyperlink ref="D175" r:id="rId48" display="duchenenicola@yahoo.fr " xr:uid="{AB32D234-7B64-4DC0-9291-4901C12AC12B}"/>
    <hyperlink ref="D177" r:id="rId49" xr:uid="{E1A3C11E-1F92-4BCC-BA9A-6AB0BD4895A4}"/>
    <hyperlink ref="D32" r:id="rId50" xr:uid="{ED2AEDE2-187E-4D83-AB99-FABFE70C4084}"/>
    <hyperlink ref="D173" r:id="rId51" xr:uid="{591AFC77-8F04-445A-AFBC-A3FA447AC903}"/>
    <hyperlink ref="D27" r:id="rId52" xr:uid="{77736C9A-C2D4-43F3-BF50-E6A206001E2F}"/>
    <hyperlink ref="D240" r:id="rId53" xr:uid="{EE18830E-1BA5-4E92-8E0D-E8C4602DF3B4}"/>
    <hyperlink ref="D179" r:id="rId54" xr:uid="{35B96AD3-EBD3-4D23-821F-E12B2EB384AC}"/>
    <hyperlink ref="D33" r:id="rId55" xr:uid="{6CCACFCF-5F50-4D43-AE1D-D97E10704658}"/>
    <hyperlink ref="D182" r:id="rId56" xr:uid="{88E7FEC5-0BB0-4653-8954-B987076F628A}"/>
    <hyperlink ref="D34" r:id="rId57" xr:uid="{D288F639-0FE2-47AD-9D40-A1061F60E93A}"/>
    <hyperlink ref="D183" r:id="rId58" xr:uid="{716F2FEF-B3AA-46C6-B3ED-0FF68C34F8C4}"/>
    <hyperlink ref="D181" r:id="rId59" xr:uid="{83D81E35-B1FD-493D-A7E1-4DEFF3EFE437}"/>
    <hyperlink ref="D42" r:id="rId60" xr:uid="{D65E0E3D-3875-4CA8-95FF-7AAB6EB7E48B}"/>
    <hyperlink ref="D37" r:id="rId61" xr:uid="{9AF02931-494C-460F-B966-D3F047D13C6E}"/>
    <hyperlink ref="D180" r:id="rId62" xr:uid="{9798693E-2217-4FD5-8D64-2D8077A634DC}"/>
    <hyperlink ref="D36" r:id="rId63" xr:uid="{29907C6D-529F-4702-B614-80C7B9E46B36}"/>
    <hyperlink ref="D187" r:id="rId64" xr:uid="{0D6C135B-F42B-4B28-825A-2E6EAE06B39A}"/>
    <hyperlink ref="D188" r:id="rId65" xr:uid="{A13DC497-C98D-4BA0-B43B-6F0116A8ED4D}"/>
    <hyperlink ref="D184" r:id="rId66" xr:uid="{A941AE84-E11B-4F66-AFAD-03A5388A88ED}"/>
    <hyperlink ref="D185" r:id="rId67" xr:uid="{13372FC2-9328-40E9-BF07-87AA3AB67627}"/>
    <hyperlink ref="D38" r:id="rId68" xr:uid="{FDF3197F-F205-4BC7-8A28-703285BDDC26}"/>
    <hyperlink ref="D39" r:id="rId69" tooltip="blocked::mailto:praestk@aol.com" display="mailto:praestk@aol.com" xr:uid="{E30CD920-3612-4296-805D-725743F33E55}"/>
    <hyperlink ref="D364" r:id="rId70" display="erwanhubert@free.fr" xr:uid="{6CA7EFAA-3670-4644-B80D-65CAD3522185}"/>
    <hyperlink ref="D45" r:id="rId71" xr:uid="{6E82FE49-0ED2-4E09-BFC5-70C2218BF54F}"/>
    <hyperlink ref="D41" r:id="rId72" xr:uid="{C62B20CF-7278-44C6-8EC5-27367F330CC5}"/>
    <hyperlink ref="D54" r:id="rId73" xr:uid="{205A3FB6-99F7-4BC4-9CBC-092809BB7F9E}"/>
    <hyperlink ref="D43" r:id="rId74" xr:uid="{2DADDD24-D255-461C-83C8-C7894D262ACE}"/>
    <hyperlink ref="D46" r:id="rId75" xr:uid="{27F4F47A-5A8F-4FA5-B676-8ED886E7A7A0}"/>
    <hyperlink ref="D51" r:id="rId76" xr:uid="{3A4F5AD6-5E08-4ADC-AAED-E5D2794E1BE0}"/>
    <hyperlink ref="D241" r:id="rId77" xr:uid="{FCF22501-7EAE-4894-A5B4-2CC1295EAE45}"/>
    <hyperlink ref="D196" r:id="rId78" xr:uid="{3F1D8E67-9DD8-462F-A2CE-34C30BE0D83C}"/>
    <hyperlink ref="D48" r:id="rId79" xr:uid="{A615664D-A361-45CD-A723-77C123C9C2B1}"/>
    <hyperlink ref="D192" r:id="rId80" xr:uid="{7C6078EC-34BB-4EE9-ABEB-3708D56D6C84}"/>
    <hyperlink ref="D47" r:id="rId81" xr:uid="{22C629BE-D0B9-48A8-800F-2B715F255E79}"/>
    <hyperlink ref="D50" r:id="rId82" xr:uid="{C8CB78E7-6573-4DA3-923B-10D5CE4EB437}"/>
    <hyperlink ref="D52" r:id="rId83" xr:uid="{132814F4-DCDA-4DBA-B5F6-211DB9FAE5C4}"/>
    <hyperlink ref="D49" r:id="rId84" xr:uid="{4BDF4021-25D0-48C2-B680-B993321BD5E1}"/>
    <hyperlink ref="D194" r:id="rId85" xr:uid="{A8DFDEA4-610E-42E0-85C6-010A285BC87C}"/>
    <hyperlink ref="D406" r:id="rId86" display="erwanhubert@free.fr" xr:uid="{4734D913-1E2F-4068-82CE-0477D6CC77F8}"/>
    <hyperlink ref="D59" r:id="rId87" xr:uid="{3E6070DF-F107-45CF-B906-C224F0AD815C}"/>
    <hyperlink ref="D61" r:id="rId88" xr:uid="{65B9A386-A6A5-4CAE-B47A-30FE59BFD9F3}"/>
    <hyperlink ref="D62" r:id="rId89" xr:uid="{DD82285F-827A-4D8A-9CA8-C0D5CFAD8773}"/>
    <hyperlink ref="D53" r:id="rId90" xr:uid="{7B0DA8ED-6129-41E8-A01C-4F84DD9C702E}"/>
    <hyperlink ref="D55" r:id="rId91" xr:uid="{7A59B6E1-1B7E-4F62-9AC4-7D787BBEAFD8}"/>
    <hyperlink ref="D56" r:id="rId92" xr:uid="{A948B97C-442B-4427-AC30-13535694D73C}"/>
    <hyperlink ref="D200" r:id="rId93" xr:uid="{159A7FA0-5D10-46E2-AFE0-B88F9F2CA2FB}"/>
    <hyperlink ref="D199" r:id="rId94" xr:uid="{9DE2F8AF-EB42-4F29-A092-46458F1E8ED3}"/>
    <hyperlink ref="D203" r:id="rId95" xr:uid="{BA3DA301-8920-4A9A-BF27-5EF6635F912D}"/>
    <hyperlink ref="D57" r:id="rId96" xr:uid="{A6646719-D7E0-42B6-9C29-F31075B426A3}"/>
    <hyperlink ref="D60" r:id="rId97" xr:uid="{A107E939-4D79-405B-B4F3-8D682C5CF224}"/>
    <hyperlink ref="D242" r:id="rId98" xr:uid="{91E5E7BF-587C-456A-AD8E-9F80B3732A5D}"/>
    <hyperlink ref="D198" r:id="rId99" xr:uid="{24F622E1-EEC5-4F28-B1FF-75811D224FDA}"/>
    <hyperlink ref="D202" r:id="rId100" xr:uid="{F9A54AC3-4887-4029-B038-B48C5410EB80}"/>
    <hyperlink ref="D197" r:id="rId101" xr:uid="{F74EA794-4CCB-47BA-AAF6-80F128C282A1}"/>
    <hyperlink ref="D201" r:id="rId102" xr:uid="{1E7F7BC1-A2C2-4F8F-901C-B3505347DE44}"/>
    <hyperlink ref="D63" r:id="rId103" xr:uid="{9E32D687-EF5D-45DF-B3CC-B8C61DA96993}"/>
    <hyperlink ref="D58" r:id="rId104" xr:uid="{D42F97D5-2A17-4727-8641-D73B67376B4A}"/>
    <hyperlink ref="D244" r:id="rId105" xr:uid="{E7B03B03-C572-44EB-BA18-7A757BBC1FD4}"/>
    <hyperlink ref="D64" r:id="rId106" xr:uid="{80143434-504C-4F8F-9521-7C597D0601D2}"/>
    <hyperlink ref="D243" r:id="rId107" xr:uid="{C8B48B77-058F-4B35-BF3A-B819040CB56B}"/>
    <hyperlink ref="D204" r:id="rId108" xr:uid="{B49B2420-75FB-4020-9B34-EF5C07FE1379}"/>
    <hyperlink ref="D65" r:id="rId109" xr:uid="{0CFC812C-C14E-4B9F-803A-8C55797380C5}"/>
    <hyperlink ref="D462" r:id="rId110" display="erwanhubert@free.fr" xr:uid="{79644E03-7E8F-49BC-A053-0EFF3ECA59C4}"/>
    <hyperlink ref="D69" r:id="rId111" xr:uid="{11FA388A-9883-43B7-8BF2-143F2B829F1E}"/>
    <hyperlink ref="D205" r:id="rId112" xr:uid="{3B0E2805-D736-4F03-BB39-5E0A19B317A0}"/>
    <hyperlink ref="D68" r:id="rId113" xr:uid="{2DF959B0-7731-44CA-953A-E2EBF76928D8}"/>
    <hyperlink ref="D67" r:id="rId114" xr:uid="{8DB3D270-8EC3-40EC-8F6F-857383992A8A}"/>
    <hyperlink ref="D72" r:id="rId115" xr:uid="{4429C4AD-5DA7-44F0-9D28-9A9FF568F9AF}"/>
    <hyperlink ref="D207" r:id="rId116" xr:uid="{5976C551-B9F5-4C4C-9574-1356F058B634}"/>
    <hyperlink ref="D208" r:id="rId117" xr:uid="{87FDFE00-D7E4-4B5B-A5DD-74C1E87E346C}"/>
    <hyperlink ref="D209" r:id="rId118" xr:uid="{60EF2AE2-7829-41B6-B3C1-20101FF5B369}"/>
    <hyperlink ref="D230" r:id="rId119" xr:uid="{977A25CF-A76B-4C3A-B9CA-59CA090D91A5}"/>
    <hyperlink ref="D231" r:id="rId120" xr:uid="{49FF7458-2E23-4FB7-9E76-F222B163D6F8}"/>
    <hyperlink ref="D124" r:id="rId121" xr:uid="{3D06B648-9C87-47D9-A0A4-BD45DA8D6D52}"/>
    <hyperlink ref="D128" r:id="rId122" xr:uid="{A4D579EE-03AE-4CEC-952C-89848DD9EB92}"/>
    <hyperlink ref="D237" r:id="rId123" xr:uid="{29492F41-DC69-4268-802F-ACF8A9244CFE}"/>
    <hyperlink ref="D130" r:id="rId124" xr:uid="{66B4A5E7-C925-470C-AD16-0F9A04AF4E5F}"/>
    <hyperlink ref="D129" r:id="rId125" xr:uid="{243E5AA9-7CA0-475E-91CA-EB1DA677157F}"/>
    <hyperlink ref="D249" r:id="rId126" xr:uid="{3424B7ED-FF11-4ED9-9504-83F81C47569C}"/>
    <hyperlink ref="D126" r:id="rId127" xr:uid="{C151C652-81B5-4975-87F7-7595C9DF522F}"/>
    <hyperlink ref="D224" r:id="rId128" xr:uid="{689BAF04-E32B-433D-9FC5-AC685607D097}"/>
    <hyperlink ref="D234" r:id="rId129" xr:uid="{DEA06183-9FDC-4552-B74D-13F425AED6D4}"/>
    <hyperlink ref="D238" r:id="rId130" xr:uid="{764845C7-9023-40E7-B8E8-BBB45E9E4A18}"/>
    <hyperlink ref="D127" r:id="rId131" xr:uid="{D260FD4C-A7D3-4737-AAC3-90BEAC8E4907}"/>
    <hyperlink ref="D123" r:id="rId132" xr:uid="{98CF9477-8DF8-4DDC-9837-25F5D9025690}"/>
    <hyperlink ref="D226" r:id="rId133" xr:uid="{B959D45D-82AA-462E-A64C-92FC8DDBE82F}"/>
    <hyperlink ref="D125" r:id="rId134" xr:uid="{61F3DFDC-4587-4105-A3A2-DE08D448A61D}"/>
    <hyperlink ref="D246" r:id="rId135" xr:uid="{F6889CCF-01CE-4996-952D-AE05A101D306}"/>
    <hyperlink ref="D213" r:id="rId136" xr:uid="{B4DACEC5-3D99-441E-B37A-DF326C674F69}"/>
    <hyperlink ref="D70" r:id="rId137" xr:uid="{8A76638D-ABA9-4CA9-B12B-59CF71421595}"/>
    <hyperlink ref="D74" r:id="rId138" xr:uid="{F9991AFB-4ABA-4AF6-9FEC-201B299B94C2}"/>
    <hyperlink ref="D91" r:id="rId139" display="mailto:sandra@rudelwohl-zach.de" xr:uid="{F2E1F0C3-D755-4BCF-B780-150E3263D63C}"/>
    <hyperlink ref="D75" r:id="rId140" xr:uid="{64DE51E1-AEFA-451A-84CA-FC42611BE445}"/>
    <hyperlink ref="D211" r:id="rId141" xr:uid="{36D97960-CE42-46BA-834F-943FC63CC53E}"/>
    <hyperlink ref="D79" r:id="rId142" xr:uid="{646744E7-D6E8-4C52-B675-E8590935B17A}"/>
    <hyperlink ref="D84" r:id="rId143" xr:uid="{0274176D-CE8A-4546-BA0E-D9CF2183A2D3}"/>
    <hyperlink ref="D80" r:id="rId144" xr:uid="{FC5A74D8-809F-4257-98BD-91CBD2B5D71E}"/>
    <hyperlink ref="D82" r:id="rId145" xr:uid="{AD2AFE65-C0B3-4BDF-82CF-F6F4A24DD8A6}"/>
    <hyperlink ref="D66" r:id="rId146" xr:uid="{0A91ECE8-F3AF-4A00-850D-B0E28BAA2C64}"/>
    <hyperlink ref="D86" r:id="rId147" xr:uid="{71329037-DFD7-446D-BD5F-3A825CE08E63}"/>
    <hyperlink ref="D214" r:id="rId148" xr:uid="{F41EC5BC-58E9-4AA6-83BB-889D198DC9B6}"/>
    <hyperlink ref="D212" r:id="rId149" xr:uid="{331BA08F-0472-4348-AB77-4ECF7B614D4D}"/>
    <hyperlink ref="D90" r:id="rId150" display="mailto:gmmanzi@aol.com" xr:uid="{CC8C8A8A-891D-40B7-945F-F87615F3A570}"/>
    <hyperlink ref="D88" r:id="rId151" xr:uid="{AAFCACB4-8646-4054-B6E5-12A079E298D6}"/>
    <hyperlink ref="D215" r:id="rId152" xr:uid="{1C4D999C-4684-42EB-83E8-C2DBF7FCCB0F}"/>
    <hyperlink ref="D81" r:id="rId153" xr:uid="{B818B857-3960-431A-8C80-03F39FB09615}"/>
    <hyperlink ref="D477" r:id="rId154" xr:uid="{34AEE17D-A7EE-4052-A089-9030B4C3CD60}"/>
    <hyperlink ref="D85" r:id="rId155" xr:uid="{296A5657-8A73-477A-9109-49BF6A7D7C84}"/>
    <hyperlink ref="D89" r:id="rId156" xr:uid="{B1DD24A2-C996-476C-BC75-3D2961B2E996}"/>
    <hyperlink ref="D96" r:id="rId157" display="mailto:michael.boller@hartmann-werkzeugmarkt.de" xr:uid="{98B28C8C-05BF-4EA7-B604-A6D81BE8A956}"/>
    <hyperlink ref="D94" r:id="rId158" xr:uid="{B430CE72-3CB4-4686-A1A9-0484FCCA91A7}"/>
    <hyperlink ref="D95" r:id="rId159" xr:uid="{B1B4B1AC-34D0-493E-87A2-4CD935679A42}"/>
    <hyperlink ref="D97" r:id="rId160" xr:uid="{D5351ED8-6E7F-426A-B185-3DD3B80C60EB}"/>
    <hyperlink ref="D92" r:id="rId161" xr:uid="{028289E0-36D5-4F48-8BDD-CD8398322650}"/>
    <hyperlink ref="D102" r:id="rId162" xr:uid="{C493F574-2BDE-49FF-8DFE-B09A450550A3}"/>
    <hyperlink ref="D103" r:id="rId163" xr:uid="{EAC6DCBC-92AE-48FC-ABB8-DDA0A0CD8362}"/>
    <hyperlink ref="D219" r:id="rId164" xr:uid="{4AE0B464-3E6B-4B46-8FC9-52167E67AE9E}"/>
    <hyperlink ref="D107" r:id="rId165" xr:uid="{FF754465-9EDD-4FC4-A4E1-E22BB7135CE7}"/>
    <hyperlink ref="D110" r:id="rId166" xr:uid="{1FADA9F7-E914-443E-981F-F6AE652C9CFB}"/>
    <hyperlink ref="D99" r:id="rId167" xr:uid="{6EE773CD-ACAB-40E7-8CD8-FEC3C15995DF}"/>
    <hyperlink ref="D98" r:id="rId168" xr:uid="{1F49E87F-A368-4B13-9ED7-AA5F77FC8E84}"/>
    <hyperlink ref="D106" r:id="rId169" xr:uid="{2BA02A20-193C-412B-81B5-37464CD07F9F}"/>
    <hyperlink ref="D101" r:id="rId170" xr:uid="{9D97A08D-1F3F-4554-AFB3-A80E3A08C57D}"/>
    <hyperlink ref="D108" r:id="rId171" xr:uid="{E81D5468-B7A2-4078-8781-4C1C5C93B983}"/>
    <hyperlink ref="D105" r:id="rId172" xr:uid="{94E2F004-60C6-48BC-A38F-9835DAC9B2F0}"/>
    <hyperlink ref="D220" r:id="rId173" xr:uid="{D1DAF04C-DECF-4340-97D2-3BC1D41C2509}"/>
    <hyperlink ref="D104" r:id="rId174" xr:uid="{C28C1BEF-E537-4580-A151-1DF0C1D9BA06}"/>
    <hyperlink ref="D217" r:id="rId175" xr:uid="{40053C6D-D3DC-4A77-93B2-CA14D8008ABB}"/>
    <hyperlink ref="D216" r:id="rId176" xr:uid="{AA19994D-E03F-48EC-82BA-43E46A8718BC}"/>
    <hyperlink ref="D112" r:id="rId177" xr:uid="{90EDBAE2-BE88-4FE1-BF28-892EE48A6987}"/>
    <hyperlink ref="D111" r:id="rId178" xr:uid="{36791CE9-76FD-455A-800C-0F15090ACB31}"/>
    <hyperlink ref="D223" r:id="rId179" xr:uid="{9057502F-CA80-4DA4-82D4-F7B2F1814F27}"/>
    <hyperlink ref="D117" r:id="rId180" xr:uid="{0DAE9EB3-E3E9-4E77-AB01-2AC28A1B18AC}"/>
    <hyperlink ref="D247" r:id="rId181" xr:uid="{A16E1913-9F96-48B1-91F4-DF443AA0EAF3}"/>
    <hyperlink ref="D118" r:id="rId182" xr:uid="{843273F4-4F5C-402A-9DBA-067A8CC356F7}"/>
    <hyperlink ref="D116" r:id="rId183" xr:uid="{0F832D71-640B-4D68-A423-8445C67DEA48}"/>
    <hyperlink ref="D109" r:id="rId184" xr:uid="{24055E06-85D3-4444-9088-D1A7C240213C}"/>
    <hyperlink ref="D119" r:id="rId185" xr:uid="{25FB7863-B084-42D5-8AF7-CEDCBB6D298E}"/>
    <hyperlink ref="D115" r:id="rId186" xr:uid="{429D4B2E-91BC-4E28-925C-9B85EFEC258A}"/>
    <hyperlink ref="D121" r:id="rId187" xr:uid="{4E1283D0-ACEC-4BC2-9D01-2D491754DCAA}"/>
    <hyperlink ref="D113" r:id="rId188" xr:uid="{A59A06B2-F491-4980-B720-8CA78A899B3F}"/>
    <hyperlink ref="D114" r:id="rId189" xr:uid="{90140971-43CA-4B12-853E-02D34A6790EF}"/>
    <hyperlink ref="D120" r:id="rId190" xr:uid="{1A810409-0BC2-4DE3-84E5-50ED9F52AF7E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C15904-1C39-4B5D-85D4-4638E0C5BEAA}">
  <dimension ref="A1:A57"/>
  <sheetViews>
    <sheetView topLeftCell="A37" workbookViewId="0">
      <selection sqref="A1:A1048576"/>
    </sheetView>
  </sheetViews>
  <sheetFormatPr baseColWidth="10" defaultRowHeight="13.2"/>
  <sheetData>
    <row r="1" spans="1:1">
      <c r="A1" s="1422" t="s">
        <v>3049</v>
      </c>
    </row>
    <row r="2" spans="1:1">
      <c r="A2" s="1993" t="s">
        <v>2795</v>
      </c>
    </row>
    <row r="3" spans="1:1">
      <c r="A3" s="1993" t="s">
        <v>3444</v>
      </c>
    </row>
    <row r="4" spans="1:1">
      <c r="A4" s="1993" t="s">
        <v>3479</v>
      </c>
    </row>
    <row r="5" spans="1:1">
      <c r="A5" s="1993" t="s">
        <v>2847</v>
      </c>
    </row>
    <row r="6" spans="1:1">
      <c r="A6" s="1993" t="s">
        <v>2748</v>
      </c>
    </row>
    <row r="7" spans="1:1">
      <c r="A7" s="365" t="s">
        <v>3270</v>
      </c>
    </row>
    <row r="8" spans="1:1">
      <c r="A8" s="365" t="s">
        <v>3311</v>
      </c>
    </row>
    <row r="9" spans="1:1">
      <c r="A9" s="823" t="s">
        <v>3379</v>
      </c>
    </row>
    <row r="10" spans="1:1">
      <c r="A10" s="823" t="s">
        <v>3412</v>
      </c>
    </row>
    <row r="11" spans="1:1">
      <c r="A11" s="128" t="s">
        <v>3451</v>
      </c>
    </row>
    <row r="12" spans="1:1">
      <c r="A12" s="823" t="s">
        <v>3462</v>
      </c>
    </row>
    <row r="13" spans="1:1">
      <c r="A13" s="365" t="s">
        <v>3446</v>
      </c>
    </row>
    <row r="14" spans="1:1">
      <c r="A14" s="365" t="s">
        <v>3440</v>
      </c>
    </row>
    <row r="15" spans="1:1">
      <c r="A15" s="903" t="s">
        <v>3427</v>
      </c>
    </row>
    <row r="16" spans="1:1">
      <c r="A16" s="823" t="s">
        <v>1562</v>
      </c>
    </row>
    <row r="17" spans="1:1">
      <c r="A17" s="823" t="s">
        <v>3342</v>
      </c>
    </row>
    <row r="18" spans="1:1">
      <c r="A18" s="823" t="s">
        <v>3509</v>
      </c>
    </row>
    <row r="19" spans="1:1">
      <c r="A19" s="365" t="s">
        <v>3544</v>
      </c>
    </row>
    <row r="20" spans="1:1">
      <c r="A20" s="903" t="s">
        <v>3357</v>
      </c>
    </row>
    <row r="21" spans="1:1">
      <c r="A21" s="1994" t="s">
        <v>3743</v>
      </c>
    </row>
    <row r="22" spans="1:1">
      <c r="A22" s="1007" t="s">
        <v>3628</v>
      </c>
    </row>
    <row r="23" spans="1:1">
      <c r="A23" s="823" t="s">
        <v>3427</v>
      </c>
    </row>
    <row r="24" spans="1:1">
      <c r="A24" s="868" t="s">
        <v>3657</v>
      </c>
    </row>
    <row r="25" spans="1:1">
      <c r="A25" s="868" t="s">
        <v>1652</v>
      </c>
    </row>
    <row r="26" spans="1:1">
      <c r="A26" s="365" t="s">
        <v>3579</v>
      </c>
    </row>
    <row r="27" spans="1:1">
      <c r="A27" s="1151" t="s">
        <v>3564</v>
      </c>
    </row>
    <row r="28" spans="1:1">
      <c r="A28" s="1151" t="s">
        <v>2748</v>
      </c>
    </row>
    <row r="29" spans="1:1">
      <c r="A29" s="365" t="s">
        <v>3871</v>
      </c>
    </row>
    <row r="30" spans="1:1">
      <c r="A30" s="868" t="s">
        <v>3849</v>
      </c>
    </row>
    <row r="31" spans="1:1">
      <c r="A31" s="868" t="s">
        <v>4007</v>
      </c>
    </row>
    <row r="32" spans="1:1">
      <c r="A32" s="1937" t="s">
        <v>3621</v>
      </c>
    </row>
    <row r="33" spans="1:1">
      <c r="A33" s="365" t="s">
        <v>3935</v>
      </c>
    </row>
    <row r="34" spans="1:1">
      <c r="A34" s="868" t="s">
        <v>3987</v>
      </c>
    </row>
    <row r="35" spans="1:1">
      <c r="A35" s="1941" t="s">
        <v>4062</v>
      </c>
    </row>
    <row r="36" spans="1:1">
      <c r="A36" s="365" t="s">
        <v>3702</v>
      </c>
    </row>
    <row r="37" spans="1:1">
      <c r="A37" s="868" t="s">
        <v>3658</v>
      </c>
    </row>
    <row r="38" spans="1:1">
      <c r="A38" s="868" t="s">
        <v>3800</v>
      </c>
    </row>
    <row r="39" spans="1:1">
      <c r="A39" s="868" t="s">
        <v>3642</v>
      </c>
    </row>
    <row r="40" spans="1:1">
      <c r="A40" s="868" t="s">
        <v>1562</v>
      </c>
    </row>
    <row r="41" spans="1:1">
      <c r="A41" s="868" t="s">
        <v>4145</v>
      </c>
    </row>
    <row r="42" spans="1:1">
      <c r="A42" s="868" t="s">
        <v>3888</v>
      </c>
    </row>
    <row r="43" spans="1:1">
      <c r="A43" s="868" t="s">
        <v>3342</v>
      </c>
    </row>
    <row r="44" spans="1:1">
      <c r="A44" s="868" t="s">
        <v>3834</v>
      </c>
    </row>
    <row r="45" spans="1:1">
      <c r="A45" s="868" t="s">
        <v>4159</v>
      </c>
    </row>
    <row r="46" spans="1:1">
      <c r="A46" s="868" t="s">
        <v>4275</v>
      </c>
    </row>
    <row r="47" spans="1:1">
      <c r="A47" s="868" t="s">
        <v>3608</v>
      </c>
    </row>
    <row r="48" spans="1:1">
      <c r="A48" s="2002" t="s">
        <v>4394</v>
      </c>
    </row>
    <row r="49" spans="1:1">
      <c r="A49" s="1983" t="s">
        <v>2865</v>
      </c>
    </row>
    <row r="50" spans="1:1">
      <c r="A50" s="1983" t="s">
        <v>4044</v>
      </c>
    </row>
    <row r="51" spans="1:1">
      <c r="A51" s="1983" t="s">
        <v>4400</v>
      </c>
    </row>
    <row r="52" spans="1:1">
      <c r="A52" s="1983" t="s">
        <v>4360</v>
      </c>
    </row>
    <row r="53" spans="1:1">
      <c r="A53" s="1983" t="s">
        <v>4436</v>
      </c>
    </row>
    <row r="54" spans="1:1">
      <c r="A54" s="1983" t="s">
        <v>4404</v>
      </c>
    </row>
    <row r="55" spans="1:1">
      <c r="A55" s="1983" t="s">
        <v>4220</v>
      </c>
    </row>
    <row r="56" spans="1:1">
      <c r="A56" s="868" t="s">
        <v>4229</v>
      </c>
    </row>
    <row r="57" spans="1:1">
      <c r="A57" s="501" t="s">
        <v>4304</v>
      </c>
    </row>
  </sheetData>
  <hyperlinks>
    <hyperlink ref="A1" r:id="rId1" xr:uid="{DEE64A13-D946-4D7B-96E4-F69F7A5D96B2}"/>
    <hyperlink ref="A5" r:id="rId2" xr:uid="{AB52E09E-9DAE-4DC8-AD6E-D1AE12929F33}"/>
    <hyperlink ref="A6" r:id="rId3" xr:uid="{63CB57FA-D2AB-4E43-9F0E-5B249577C039}"/>
    <hyperlink ref="A7" r:id="rId4" xr:uid="{5FF92999-28F2-4DC8-99BF-0E8890AB1E57}"/>
    <hyperlink ref="A8" r:id="rId5" xr:uid="{69D4DE5D-3DF9-48E6-A880-51E069A4F109}"/>
    <hyperlink ref="A17" r:id="rId6" xr:uid="{36FBC094-114A-466C-8A49-A0E940A788C7}"/>
    <hyperlink ref="A16" r:id="rId7" xr:uid="{1A567076-6BC7-4036-B725-CE6EFCF6F077}"/>
    <hyperlink ref="A20" r:id="rId8" xr:uid="{474C2A63-DE75-4522-A19E-3BDED3E92B01}"/>
    <hyperlink ref="A9" r:id="rId9" xr:uid="{B3100D90-42F1-47A2-92AA-38CBC8F264A3}"/>
    <hyperlink ref="A2" r:id="rId10" xr:uid="{ABD6762E-EF9B-48C7-A0A4-A5881ACB2710}"/>
    <hyperlink ref="A10" r:id="rId11" xr:uid="{36422BEF-FCB5-4924-B5A6-E845F4B969B5}"/>
    <hyperlink ref="A15" r:id="rId12" xr:uid="{CD6559E9-C890-48BA-9649-398F85B2F999}"/>
    <hyperlink ref="A13" r:id="rId13" xr:uid="{89DCE413-3593-49C1-A9E4-5C51B1E68BFF}"/>
    <hyperlink ref="A14" r:id="rId14" xr:uid="{F937482F-9AD7-4D6C-8962-C17843BBEF6F}"/>
    <hyperlink ref="A3" r:id="rId15" xr:uid="{58214E3D-F5B4-4C43-A368-B0AC29E01ADC}"/>
    <hyperlink ref="A12" r:id="rId16" xr:uid="{1001A73D-EE55-477A-BFF4-5FE6E73631EE}"/>
    <hyperlink ref="A28" r:id="rId17" xr:uid="{CB5D600B-67DF-4EA7-9F7E-0A3E5CB17C91}"/>
    <hyperlink ref="A4" r:id="rId18" xr:uid="{D2437F2C-D319-4173-9B39-7AEA9436FDCD}"/>
    <hyperlink ref="A19" r:id="rId19" xr:uid="{B0FBF489-B967-4F42-8AAF-791D192EFA3B}"/>
    <hyperlink ref="A25" r:id="rId20" xr:uid="{C9D53AF7-F022-4EA1-BEE0-3131C807FD98}"/>
    <hyperlink ref="A22" r:id="rId21" xr:uid="{382820DC-38BC-4D5C-8CB8-0750C79087C5}"/>
    <hyperlink ref="A27" r:id="rId22" xr:uid="{667ED588-F16D-4101-9F0A-36B81DF65D6D}"/>
    <hyperlink ref="A26" r:id="rId23" xr:uid="{8C4E2122-702A-4AD8-808C-A33D068DC0FB}"/>
    <hyperlink ref="A47" r:id="rId24" xr:uid="{A62F51B2-DB36-4303-AA11-D5AA446DDAE4}"/>
    <hyperlink ref="A32" r:id="rId25" xr:uid="{02569ACC-163A-4AF7-B1BD-BC9DCF179397}"/>
    <hyperlink ref="A40" r:id="rId26" xr:uid="{14E9E86B-FDE8-486E-9D2F-B65772F87637}"/>
    <hyperlink ref="A43" r:id="rId27" xr:uid="{2EAD9CD7-64EE-423A-A5C1-A31B4E277CC6}"/>
    <hyperlink ref="A23" r:id="rId28" xr:uid="{EA1AB888-86F2-40EE-A067-B95BF90FCF26}"/>
    <hyperlink ref="A24" r:id="rId29" xr:uid="{0C4B2714-E386-43F2-931F-19ADCED8A62D}"/>
    <hyperlink ref="A39" r:id="rId30" xr:uid="{41EEF0C3-A12A-4571-ADA5-6B39F260FE98}"/>
    <hyperlink ref="A37" r:id="rId31" xr:uid="{5EA66C19-D6BE-4498-AD12-5CA6CF32B13D}"/>
    <hyperlink ref="A36" r:id="rId32" xr:uid="{EC6A70EB-76DE-49FC-88E2-EF1016D93E8E}"/>
    <hyperlink ref="A38" r:id="rId33" xr:uid="{EF2C9895-922E-462E-A04B-D80375C1E8D6}"/>
    <hyperlink ref="A44" r:id="rId34" xr:uid="{C8A6D2C5-8851-4EB5-B463-E6883989566B}"/>
    <hyperlink ref="A30" r:id="rId35" xr:uid="{7C1AC4D2-3108-433B-A0F9-241C93AE184A}"/>
    <hyperlink ref="A29" r:id="rId36" xr:uid="{D4D2D268-42F4-478D-B2F5-C3BC22897B7C}"/>
    <hyperlink ref="A42" r:id="rId37" xr:uid="{F383B7BC-2E15-4E60-911E-6BCF47F23F20}"/>
    <hyperlink ref="A33" r:id="rId38" xr:uid="{A39DC229-DD98-46F0-AEB3-DD664817DBF3}"/>
    <hyperlink ref="A41" r:id="rId39" xr:uid="{3B0D25A4-7295-438D-BD72-8A01AEFD930A}"/>
    <hyperlink ref="A34" r:id="rId40" display="ben_ney@hotmail.com" xr:uid="{1062E8F2-57D8-4599-A358-9CBFC56748E2}"/>
    <hyperlink ref="A50" r:id="rId41" xr:uid="{F5A69B28-D545-459C-B539-CA3286A1C33E}"/>
    <hyperlink ref="A31" r:id="rId42" xr:uid="{836CF293-15D0-4240-BEE9-E3BBF35D1008}"/>
    <hyperlink ref="A35" r:id="rId43" xr:uid="{0FFD58D9-592B-404F-81EA-69238F3DC496}"/>
    <hyperlink ref="A45" r:id="rId44" xr:uid="{2A3B2568-572E-4F36-A152-A4452ECBA920}"/>
    <hyperlink ref="A55" r:id="rId45" xr:uid="{35E07950-7F41-4860-8086-672A47560955}"/>
    <hyperlink ref="A49" r:id="rId46" xr:uid="{85B99B05-AB3D-438F-86DE-F62EF78B016B}"/>
    <hyperlink ref="A46" r:id="rId47" xr:uid="{5DEE9F0E-97E3-440F-9188-27C77C218B2C}"/>
    <hyperlink ref="A57" r:id="rId48" xr:uid="{16A32F57-1A80-46C6-9F0F-AD908981508D}"/>
    <hyperlink ref="A52" r:id="rId49" xr:uid="{A98F5CCF-1031-4A2B-906F-05F2CD60B64D}"/>
    <hyperlink ref="A51" r:id="rId50" xr:uid="{9844BB9E-F5BD-4774-BEC3-8876F9F954F3}"/>
    <hyperlink ref="A54" r:id="rId51" xr:uid="{B63AC527-24BE-4734-BB19-1EACDD6DA6F7}"/>
    <hyperlink ref="A53" r:id="rId52" xr:uid="{61D1667B-FAF6-42E1-AFDB-72F5F562BE9C}"/>
    <hyperlink ref="A48" r:id="rId53" xr:uid="{D3FB82FA-13F2-497F-AAE2-22F19DF14FDC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459E2-7A4C-40AE-B231-9856816FA404}">
  <dimension ref="A1:Q53"/>
  <sheetViews>
    <sheetView workbookViewId="0">
      <selection activeCell="K17" sqref="K17"/>
    </sheetView>
  </sheetViews>
  <sheetFormatPr baseColWidth="10" defaultRowHeight="10.199999999999999"/>
  <cols>
    <col min="1" max="1" width="17.33203125" style="8" bestFit="1" customWidth="1"/>
    <col min="2" max="2" width="17.88671875" style="8" bestFit="1" customWidth="1"/>
    <col min="3" max="4" width="7.33203125" style="8" bestFit="1" customWidth="1"/>
    <col min="5" max="5" width="19.44140625" style="8" bestFit="1" customWidth="1"/>
    <col min="6" max="7" width="8.44140625" style="8" bestFit="1" customWidth="1"/>
    <col min="8" max="8" width="18.44140625" style="8" bestFit="1" customWidth="1"/>
    <col min="9" max="9" width="9.33203125" style="8" bestFit="1" customWidth="1"/>
    <col min="10" max="10" width="6.6640625" style="8" bestFit="1" customWidth="1"/>
    <col min="11" max="11" width="15.6640625" style="8" bestFit="1" customWidth="1"/>
    <col min="12" max="12" width="24.109375" style="8" bestFit="1" customWidth="1"/>
    <col min="13" max="13" width="11.5546875" style="8" hidden="1" customWidth="1"/>
    <col min="14" max="14" width="26" style="8" bestFit="1" customWidth="1"/>
    <col min="15" max="15" width="16.6640625" style="8" bestFit="1" customWidth="1"/>
    <col min="16" max="16" width="26.77734375" style="8" bestFit="1" customWidth="1"/>
    <col min="17" max="16384" width="11.5546875" style="8"/>
  </cols>
  <sheetData>
    <row r="1" spans="1:17" s="7" customFormat="1">
      <c r="A1" s="7" t="s">
        <v>925</v>
      </c>
      <c r="B1" s="7" t="s">
        <v>1</v>
      </c>
      <c r="C1" s="7" t="s">
        <v>370</v>
      </c>
      <c r="D1" s="7" t="s">
        <v>371</v>
      </c>
      <c r="E1" s="7" t="s">
        <v>3732</v>
      </c>
      <c r="F1" s="7" t="s">
        <v>3</v>
      </c>
      <c r="G1" s="7" t="s">
        <v>4</v>
      </c>
      <c r="H1" s="7" t="s">
        <v>16</v>
      </c>
      <c r="I1" s="7" t="s">
        <v>5</v>
      </c>
      <c r="J1" s="7" t="s">
        <v>3733</v>
      </c>
      <c r="K1" s="7" t="s">
        <v>3734</v>
      </c>
      <c r="L1" s="7" t="s">
        <v>3735</v>
      </c>
      <c r="N1" s="7" t="s">
        <v>3736</v>
      </c>
      <c r="O1" s="7" t="s">
        <v>3737</v>
      </c>
      <c r="P1" s="7" t="s">
        <v>3738</v>
      </c>
      <c r="Q1" s="7" t="s">
        <v>3739</v>
      </c>
    </row>
    <row r="3" spans="1:17" s="856" customFormat="1" ht="12" customHeight="1">
      <c r="A3" s="9" t="s">
        <v>3717</v>
      </c>
      <c r="G3" s="857"/>
      <c r="O3" s="1032"/>
    </row>
    <row r="4" spans="1:17" ht="12" customHeight="1">
      <c r="A4" s="8" t="s">
        <v>486</v>
      </c>
      <c r="B4" s="8" t="s">
        <v>1620</v>
      </c>
      <c r="C4" s="31">
        <v>43764</v>
      </c>
      <c r="D4" s="31">
        <v>43771</v>
      </c>
      <c r="E4" s="8" t="s">
        <v>488</v>
      </c>
      <c r="G4" s="132">
        <v>95130</v>
      </c>
      <c r="H4" s="8" t="s">
        <v>489</v>
      </c>
      <c r="I4" s="8" t="s">
        <v>23</v>
      </c>
      <c r="J4" s="8" t="s">
        <v>19</v>
      </c>
      <c r="K4" s="8" t="s">
        <v>490</v>
      </c>
      <c r="L4" s="8" t="s">
        <v>491</v>
      </c>
      <c r="N4" s="1536" t="s">
        <v>492</v>
      </c>
      <c r="O4" s="1537">
        <f>1290+70</f>
        <v>1360</v>
      </c>
      <c r="P4" s="8" t="s">
        <v>2345</v>
      </c>
      <c r="Q4" s="8" t="s">
        <v>232</v>
      </c>
    </row>
    <row r="5" spans="1:17" ht="12" customHeight="1">
      <c r="A5" s="8" t="s">
        <v>2192</v>
      </c>
      <c r="B5" s="8" t="s">
        <v>2193</v>
      </c>
      <c r="C5" s="31">
        <v>43771</v>
      </c>
      <c r="D5" s="31">
        <v>43785</v>
      </c>
      <c r="E5" s="8" t="s">
        <v>2194</v>
      </c>
      <c r="G5" s="132" t="s">
        <v>2195</v>
      </c>
      <c r="H5" s="7" t="s">
        <v>2196</v>
      </c>
      <c r="I5" s="8" t="s">
        <v>18</v>
      </c>
      <c r="J5" s="8" t="s">
        <v>51</v>
      </c>
      <c r="K5" s="15"/>
      <c r="L5" s="15" t="s">
        <v>2197</v>
      </c>
      <c r="N5" s="1556" t="s">
        <v>2198</v>
      </c>
      <c r="O5" s="1537">
        <f>2380+70+21</f>
        <v>2471</v>
      </c>
      <c r="P5" s="8" t="s">
        <v>3724</v>
      </c>
    </row>
    <row r="6" spans="1:17" ht="12" customHeight="1">
      <c r="A6" s="8" t="s">
        <v>2265</v>
      </c>
      <c r="B6" s="8" t="s">
        <v>2264</v>
      </c>
      <c r="C6" s="31">
        <v>43785</v>
      </c>
      <c r="D6" s="31">
        <v>43792</v>
      </c>
      <c r="E6" s="8" t="s">
        <v>2266</v>
      </c>
      <c r="G6" s="132" t="s">
        <v>2267</v>
      </c>
      <c r="H6" s="8" t="s">
        <v>2268</v>
      </c>
      <c r="I6" s="8" t="s">
        <v>54</v>
      </c>
      <c r="J6" s="8" t="s">
        <v>19</v>
      </c>
      <c r="L6" s="8" t="s">
        <v>2269</v>
      </c>
      <c r="N6" s="1556" t="s">
        <v>2270</v>
      </c>
      <c r="O6" s="1537">
        <f>1090+70+3*21</f>
        <v>1223</v>
      </c>
      <c r="P6" s="8" t="s">
        <v>1025</v>
      </c>
    </row>
    <row r="7" spans="1:17" ht="12" customHeight="1">
      <c r="A7" s="8" t="s">
        <v>2355</v>
      </c>
      <c r="B7" s="8" t="s">
        <v>2356</v>
      </c>
      <c r="C7" s="31">
        <v>43799</v>
      </c>
      <c r="D7" s="31">
        <v>43813</v>
      </c>
      <c r="E7" s="8" t="s">
        <v>2357</v>
      </c>
      <c r="G7" s="132" t="s">
        <v>2358</v>
      </c>
      <c r="H7" s="8" t="s">
        <v>2359</v>
      </c>
      <c r="I7" s="8" t="s">
        <v>18</v>
      </c>
      <c r="J7" s="8" t="s">
        <v>1023</v>
      </c>
      <c r="L7" s="8" t="s">
        <v>2360</v>
      </c>
      <c r="N7" s="1556" t="s">
        <v>2361</v>
      </c>
      <c r="O7" s="1537">
        <f>2180+42</f>
        <v>2222</v>
      </c>
      <c r="P7" s="8" t="s">
        <v>1025</v>
      </c>
    </row>
    <row r="8" spans="1:17" ht="12" customHeight="1">
      <c r="A8" s="8" t="s">
        <v>2016</v>
      </c>
      <c r="B8" s="8" t="s">
        <v>2017</v>
      </c>
      <c r="C8" s="31">
        <v>43813</v>
      </c>
      <c r="D8" s="31">
        <v>43827</v>
      </c>
      <c r="E8" s="8" t="s">
        <v>2018</v>
      </c>
      <c r="G8" s="132" t="s">
        <v>2019</v>
      </c>
      <c r="H8" s="8" t="s">
        <v>2020</v>
      </c>
      <c r="I8" s="8" t="s">
        <v>18</v>
      </c>
      <c r="J8" s="8" t="s">
        <v>1023</v>
      </c>
      <c r="L8" s="8" t="s">
        <v>2021</v>
      </c>
      <c r="N8" s="1536" t="s">
        <v>2022</v>
      </c>
      <c r="O8" s="1537">
        <f>2480+3*2*14</f>
        <v>2564</v>
      </c>
      <c r="P8" s="8" t="s">
        <v>2023</v>
      </c>
    </row>
    <row r="9" spans="1:17" ht="12" customHeight="1">
      <c r="A9" s="1538" t="s">
        <v>2332</v>
      </c>
      <c r="B9" s="8" t="s">
        <v>2333</v>
      </c>
      <c r="C9" s="31">
        <v>43827</v>
      </c>
      <c r="D9" s="31">
        <v>43848</v>
      </c>
      <c r="E9" s="8" t="s">
        <v>2334</v>
      </c>
      <c r="G9" s="132" t="s">
        <v>2335</v>
      </c>
      <c r="H9" s="8" t="s">
        <v>2336</v>
      </c>
      <c r="I9" s="8" t="s">
        <v>18</v>
      </c>
      <c r="J9" s="8" t="s">
        <v>51</v>
      </c>
      <c r="K9" s="8" t="s">
        <v>2338</v>
      </c>
      <c r="L9" s="8" t="s">
        <v>2337</v>
      </c>
      <c r="N9" s="1536" t="s">
        <v>2331</v>
      </c>
      <c r="O9" s="1537">
        <f>1390+1090+1090+70+2*3*21</f>
        <v>3766</v>
      </c>
      <c r="P9" s="8" t="s">
        <v>2023</v>
      </c>
    </row>
    <row r="10" spans="1:17" ht="12" customHeight="1">
      <c r="A10" s="8" t="s">
        <v>2179</v>
      </c>
      <c r="B10" s="8" t="s">
        <v>2180</v>
      </c>
      <c r="C10" s="31">
        <v>43855</v>
      </c>
      <c r="D10" s="31">
        <v>43862</v>
      </c>
      <c r="E10" s="8" t="s">
        <v>2181</v>
      </c>
      <c r="G10" s="132" t="s">
        <v>1992</v>
      </c>
      <c r="I10" s="8" t="s">
        <v>18</v>
      </c>
      <c r="J10" s="8" t="s">
        <v>1023</v>
      </c>
      <c r="L10" s="8" t="s">
        <v>2182</v>
      </c>
      <c r="N10" s="1536" t="s">
        <v>2183</v>
      </c>
      <c r="O10" s="1537">
        <f>1090+70+21</f>
        <v>1181</v>
      </c>
      <c r="P10" s="8" t="s">
        <v>3725</v>
      </c>
    </row>
    <row r="11" spans="1:17" ht="12" customHeight="1">
      <c r="A11" s="8" t="s">
        <v>527</v>
      </c>
      <c r="B11" s="8" t="s">
        <v>693</v>
      </c>
      <c r="C11" s="31">
        <v>43862</v>
      </c>
      <c r="D11" s="31">
        <v>43876</v>
      </c>
      <c r="E11" s="8" t="s">
        <v>1787</v>
      </c>
      <c r="G11" s="132" t="s">
        <v>1788</v>
      </c>
      <c r="H11" s="8" t="s">
        <v>1789</v>
      </c>
      <c r="I11" s="8" t="s">
        <v>18</v>
      </c>
      <c r="J11" s="8" t="s">
        <v>51</v>
      </c>
      <c r="L11" s="8" t="s">
        <v>1790</v>
      </c>
      <c r="N11" s="1536" t="s">
        <v>1791</v>
      </c>
      <c r="O11" s="1537">
        <f>2180+2*3*14+70</f>
        <v>2334</v>
      </c>
      <c r="P11" s="8" t="s">
        <v>2252</v>
      </c>
    </row>
    <row r="12" spans="1:17" ht="12" customHeight="1">
      <c r="A12" s="8" t="s">
        <v>1973</v>
      </c>
      <c r="B12" s="8" t="s">
        <v>1972</v>
      </c>
      <c r="C12" s="31">
        <v>43876</v>
      </c>
      <c r="D12" s="31">
        <v>43883</v>
      </c>
      <c r="E12" s="8" t="s">
        <v>1975</v>
      </c>
      <c r="G12" s="132" t="s">
        <v>1976</v>
      </c>
      <c r="H12" s="8" t="s">
        <v>1977</v>
      </c>
      <c r="I12" s="8" t="s">
        <v>168</v>
      </c>
      <c r="J12" s="8" t="s">
        <v>1023</v>
      </c>
      <c r="L12" s="8" t="s">
        <v>1978</v>
      </c>
      <c r="N12" s="1536" t="s">
        <v>1974</v>
      </c>
      <c r="O12" s="1537">
        <v>1090</v>
      </c>
      <c r="P12" s="8" t="s">
        <v>1401</v>
      </c>
    </row>
    <row r="13" spans="1:17" ht="12" customHeight="1">
      <c r="A13" s="8" t="s">
        <v>2265</v>
      </c>
      <c r="B13" s="8" t="s">
        <v>2264</v>
      </c>
      <c r="C13" s="31">
        <v>43883</v>
      </c>
      <c r="D13" s="31">
        <v>43897</v>
      </c>
      <c r="E13" s="8" t="s">
        <v>2266</v>
      </c>
      <c r="G13" s="132" t="s">
        <v>2267</v>
      </c>
      <c r="H13" s="8" t="s">
        <v>2268</v>
      </c>
      <c r="I13" s="8" t="s">
        <v>54</v>
      </c>
      <c r="J13" s="8" t="s">
        <v>19</v>
      </c>
      <c r="L13" s="8" t="s">
        <v>2269</v>
      </c>
      <c r="N13" s="1536" t="s">
        <v>2270</v>
      </c>
      <c r="O13" s="1537">
        <f>2180+70+42</f>
        <v>2292</v>
      </c>
      <c r="P13" s="8" t="s">
        <v>2260</v>
      </c>
    </row>
    <row r="14" spans="1:17" ht="12" customHeight="1">
      <c r="A14" s="8" t="s">
        <v>2355</v>
      </c>
      <c r="B14" s="8" t="s">
        <v>2356</v>
      </c>
      <c r="C14" s="31">
        <v>43897</v>
      </c>
      <c r="D14" s="31">
        <v>43904</v>
      </c>
      <c r="E14" s="8" t="s">
        <v>2357</v>
      </c>
      <c r="G14" s="132" t="s">
        <v>2358</v>
      </c>
      <c r="H14" s="8" t="s">
        <v>2359</v>
      </c>
      <c r="I14" s="8" t="s">
        <v>18</v>
      </c>
      <c r="J14" s="8" t="s">
        <v>1023</v>
      </c>
      <c r="L14" s="8" t="s">
        <v>2360</v>
      </c>
      <c r="N14" s="1536" t="s">
        <v>2361</v>
      </c>
      <c r="O14" s="1537">
        <f>1090+70+3*2*7</f>
        <v>1202</v>
      </c>
      <c r="P14" s="8" t="s">
        <v>717</v>
      </c>
    </row>
    <row r="15" spans="1:17" ht="12" customHeight="1">
      <c r="A15" s="8" t="s">
        <v>2271</v>
      </c>
      <c r="B15" s="8" t="s">
        <v>2286</v>
      </c>
      <c r="C15" s="31">
        <v>43904</v>
      </c>
      <c r="D15" s="31">
        <v>43918</v>
      </c>
      <c r="E15" s="8" t="s">
        <v>2272</v>
      </c>
      <c r="G15" s="132" t="s">
        <v>2273</v>
      </c>
      <c r="H15" s="7" t="s">
        <v>2274</v>
      </c>
      <c r="I15" s="8" t="s">
        <v>168</v>
      </c>
      <c r="J15" s="8" t="s">
        <v>1023</v>
      </c>
      <c r="K15" s="8" t="s">
        <v>2276</v>
      </c>
      <c r="L15" s="15" t="s">
        <v>2275</v>
      </c>
      <c r="N15" s="1536" t="s">
        <v>2277</v>
      </c>
      <c r="O15" s="1537">
        <f>2180+70+3*2*14</f>
        <v>2334</v>
      </c>
      <c r="P15" s="8" t="s">
        <v>3195</v>
      </c>
    </row>
    <row r="16" spans="1:17" ht="12" customHeight="1">
      <c r="C16" s="31"/>
      <c r="D16" s="31"/>
      <c r="G16" s="132"/>
      <c r="H16" s="7"/>
      <c r="L16" s="15"/>
      <c r="N16" s="1536"/>
      <c r="O16" s="1537"/>
    </row>
    <row r="17" spans="1:17" ht="12" customHeight="1">
      <c r="G17" s="132"/>
      <c r="H17" s="7"/>
      <c r="I17" s="457"/>
      <c r="J17" s="457"/>
      <c r="K17" s="457"/>
      <c r="L17" s="457"/>
      <c r="M17" s="457"/>
      <c r="N17" s="457"/>
      <c r="O17" s="1015"/>
    </row>
    <row r="18" spans="1:17" s="856" customFormat="1" ht="12" customHeight="1">
      <c r="A18" s="9" t="s">
        <v>3720</v>
      </c>
      <c r="B18" s="856" t="s">
        <v>3715</v>
      </c>
      <c r="C18" s="856" t="s">
        <v>3742</v>
      </c>
      <c r="G18" s="857"/>
      <c r="O18" s="1032"/>
    </row>
    <row r="19" spans="1:17" ht="12" customHeight="1">
      <c r="C19" s="31"/>
      <c r="D19" s="31"/>
      <c r="G19" s="132"/>
      <c r="K19" s="15"/>
      <c r="N19" s="1536"/>
      <c r="O19" s="1537"/>
    </row>
    <row r="20" spans="1:17" ht="12" customHeight="1">
      <c r="A20" s="9" t="s">
        <v>3718</v>
      </c>
      <c r="B20" s="8" t="s">
        <v>3716</v>
      </c>
      <c r="C20" s="31"/>
      <c r="D20" s="31"/>
      <c r="G20" s="132"/>
      <c r="K20" s="15"/>
      <c r="N20" s="1536"/>
      <c r="O20" s="1537"/>
    </row>
    <row r="21" spans="1:17" ht="12" customHeight="1">
      <c r="A21" s="8" t="s">
        <v>3006</v>
      </c>
      <c r="B21" s="8" t="s">
        <v>3007</v>
      </c>
      <c r="C21" s="31">
        <v>44492</v>
      </c>
      <c r="D21" s="31">
        <v>44506</v>
      </c>
      <c r="E21" s="8" t="s">
        <v>3008</v>
      </c>
      <c r="G21" s="132" t="s">
        <v>3009</v>
      </c>
      <c r="H21" s="8" t="s">
        <v>3010</v>
      </c>
      <c r="I21" s="8" t="s">
        <v>18</v>
      </c>
      <c r="J21" s="8" t="s">
        <v>51</v>
      </c>
      <c r="K21" s="15"/>
      <c r="L21" s="8" t="s">
        <v>3011</v>
      </c>
      <c r="N21" s="1536" t="s">
        <v>3012</v>
      </c>
      <c r="O21" s="1537">
        <f>2580+70+2*3*14</f>
        <v>2734</v>
      </c>
      <c r="P21" s="8" t="s">
        <v>3726</v>
      </c>
    </row>
    <row r="22" spans="1:17" ht="12" customHeight="1">
      <c r="A22" s="8" t="s">
        <v>2406</v>
      </c>
      <c r="B22" s="8" t="s">
        <v>2407</v>
      </c>
      <c r="C22" s="31">
        <v>44506</v>
      </c>
      <c r="D22" s="31">
        <v>44520</v>
      </c>
      <c r="E22" s="8" t="s">
        <v>2408</v>
      </c>
      <c r="G22" s="132" t="s">
        <v>2409</v>
      </c>
      <c r="H22" s="8" t="s">
        <v>2410</v>
      </c>
      <c r="I22" s="8" t="s">
        <v>18</v>
      </c>
      <c r="J22" s="8" t="s">
        <v>51</v>
      </c>
      <c r="K22" s="8" t="s">
        <v>2412</v>
      </c>
      <c r="L22" s="8" t="s">
        <v>2413</v>
      </c>
      <c r="N22" s="1536" t="s">
        <v>2414</v>
      </c>
      <c r="O22" s="1537">
        <f>2180+70+14*2*3</f>
        <v>2334</v>
      </c>
      <c r="P22" s="8" t="s">
        <v>3727</v>
      </c>
      <c r="Q22" s="8" t="s">
        <v>3337</v>
      </c>
    </row>
    <row r="23" spans="1:17" ht="12" customHeight="1">
      <c r="A23" s="8" t="s">
        <v>2950</v>
      </c>
      <c r="B23" s="8" t="s">
        <v>1938</v>
      </c>
      <c r="C23" s="31">
        <v>44527</v>
      </c>
      <c r="D23" s="31">
        <v>44541</v>
      </c>
      <c r="E23" s="8" t="s">
        <v>2951</v>
      </c>
      <c r="G23" s="132" t="s">
        <v>2952</v>
      </c>
      <c r="H23" s="8" t="s">
        <v>2953</v>
      </c>
      <c r="I23" s="8" t="s">
        <v>18</v>
      </c>
      <c r="J23" s="8" t="s">
        <v>51</v>
      </c>
      <c r="L23" s="8" t="s">
        <v>2954</v>
      </c>
      <c r="N23" s="1536" t="s">
        <v>2955</v>
      </c>
      <c r="O23" s="1537">
        <v>2180</v>
      </c>
      <c r="P23" s="8" t="s">
        <v>199</v>
      </c>
    </row>
    <row r="24" spans="1:17" ht="12" customHeight="1">
      <c r="A24" s="8" t="s">
        <v>2185</v>
      </c>
      <c r="B24" s="8" t="s">
        <v>2934</v>
      </c>
      <c r="C24" s="31">
        <v>44541</v>
      </c>
      <c r="D24" s="31">
        <v>44555</v>
      </c>
      <c r="E24" s="8" t="s">
        <v>3104</v>
      </c>
      <c r="G24" s="132" t="s">
        <v>3105</v>
      </c>
      <c r="H24" s="8" t="s">
        <v>3106</v>
      </c>
      <c r="I24" s="8" t="s">
        <v>18</v>
      </c>
      <c r="J24" s="8" t="s">
        <v>51</v>
      </c>
      <c r="L24" s="8" t="s">
        <v>2935</v>
      </c>
      <c r="N24" s="1539" t="s">
        <v>2936</v>
      </c>
      <c r="O24" s="1537">
        <f>1090+1390+70+2*3*14</f>
        <v>2634</v>
      </c>
      <c r="P24" s="8" t="s">
        <v>3726</v>
      </c>
    </row>
    <row r="25" spans="1:17" ht="12" customHeight="1">
      <c r="A25" s="8" t="s">
        <v>527</v>
      </c>
      <c r="B25" s="8" t="s">
        <v>693</v>
      </c>
      <c r="C25" s="31">
        <v>44555</v>
      </c>
      <c r="D25" s="31">
        <v>44569</v>
      </c>
      <c r="E25" s="8" t="s">
        <v>1787</v>
      </c>
      <c r="G25" s="132" t="s">
        <v>1788</v>
      </c>
      <c r="H25" s="8" t="s">
        <v>1789</v>
      </c>
      <c r="I25" s="8" t="s">
        <v>18</v>
      </c>
      <c r="J25" s="8" t="s">
        <v>51</v>
      </c>
      <c r="L25" s="8" t="s">
        <v>1790</v>
      </c>
      <c r="N25" s="1536" t="s">
        <v>1791</v>
      </c>
      <c r="O25" s="1537">
        <v>2480</v>
      </c>
      <c r="P25" s="8" t="s">
        <v>1401</v>
      </c>
    </row>
    <row r="26" spans="1:17" ht="12" customHeight="1">
      <c r="A26" s="8" t="s">
        <v>2406</v>
      </c>
      <c r="B26" s="8" t="s">
        <v>2407</v>
      </c>
      <c r="C26" s="31">
        <v>44576</v>
      </c>
      <c r="D26" s="31">
        <v>44590</v>
      </c>
      <c r="E26" s="8" t="s">
        <v>2408</v>
      </c>
      <c r="G26" s="132" t="s">
        <v>2409</v>
      </c>
      <c r="H26" s="8" t="s">
        <v>2410</v>
      </c>
      <c r="I26" s="8" t="s">
        <v>18</v>
      </c>
      <c r="J26" s="8" t="s">
        <v>51</v>
      </c>
      <c r="K26" s="8" t="s">
        <v>2412</v>
      </c>
      <c r="L26" s="8" t="s">
        <v>2413</v>
      </c>
      <c r="N26" s="1536" t="s">
        <v>2414</v>
      </c>
      <c r="O26" s="1537">
        <f>2180+70+3*3*14</f>
        <v>2376</v>
      </c>
      <c r="P26" s="8" t="s">
        <v>2415</v>
      </c>
      <c r="Q26" s="8" t="s">
        <v>3337</v>
      </c>
    </row>
    <row r="27" spans="1:17" ht="12" customHeight="1">
      <c r="A27" s="8" t="s">
        <v>3064</v>
      </c>
      <c r="B27" s="8" t="s">
        <v>3065</v>
      </c>
      <c r="C27" s="31">
        <v>44590</v>
      </c>
      <c r="D27" s="31">
        <v>44597</v>
      </c>
      <c r="E27" s="8" t="s">
        <v>3066</v>
      </c>
      <c r="G27" s="132" t="s">
        <v>3067</v>
      </c>
      <c r="H27" s="8" t="s">
        <v>3068</v>
      </c>
      <c r="I27" s="8" t="s">
        <v>168</v>
      </c>
      <c r="J27" s="8" t="s">
        <v>19</v>
      </c>
      <c r="L27" s="8" t="s">
        <v>3069</v>
      </c>
      <c r="N27" s="1536" t="s">
        <v>3070</v>
      </c>
      <c r="O27" s="1537">
        <v>1090</v>
      </c>
      <c r="P27" s="8" t="s">
        <v>199</v>
      </c>
    </row>
    <row r="28" spans="1:17" ht="12" customHeight="1">
      <c r="A28" s="8" t="s">
        <v>2685</v>
      </c>
      <c r="B28" s="8" t="s">
        <v>2686</v>
      </c>
      <c r="C28" s="31">
        <v>44597</v>
      </c>
      <c r="D28" s="31">
        <v>44611</v>
      </c>
      <c r="E28" s="8" t="s">
        <v>2687</v>
      </c>
      <c r="G28" s="132" t="s">
        <v>2688</v>
      </c>
      <c r="H28" s="8" t="s">
        <v>2689</v>
      </c>
      <c r="I28" s="8" t="s">
        <v>18</v>
      </c>
      <c r="J28" s="8" t="s">
        <v>51</v>
      </c>
      <c r="K28" s="15" t="s">
        <v>2690</v>
      </c>
      <c r="L28" s="8" t="s">
        <v>2691</v>
      </c>
      <c r="N28" s="1536" t="s">
        <v>2692</v>
      </c>
      <c r="O28" s="1537">
        <f>2180+70+2*3*14</f>
        <v>2334</v>
      </c>
      <c r="P28" s="8" t="s">
        <v>3726</v>
      </c>
    </row>
    <row r="29" spans="1:17" ht="12" customHeight="1">
      <c r="A29" s="8" t="s">
        <v>2872</v>
      </c>
      <c r="B29" s="8" t="s">
        <v>2873</v>
      </c>
      <c r="C29" s="31">
        <v>44618</v>
      </c>
      <c r="D29" s="31">
        <v>44625</v>
      </c>
      <c r="E29" s="8" t="s">
        <v>2874</v>
      </c>
      <c r="G29" s="132">
        <v>44240</v>
      </c>
      <c r="H29" s="8" t="s">
        <v>2875</v>
      </c>
      <c r="I29" s="8" t="s">
        <v>23</v>
      </c>
      <c r="J29" s="8" t="s">
        <v>19</v>
      </c>
      <c r="K29" s="15"/>
      <c r="L29" s="8" t="s">
        <v>2876</v>
      </c>
      <c r="N29" s="1536" t="s">
        <v>2877</v>
      </c>
      <c r="O29" s="1537">
        <f>1090+70+21</f>
        <v>1181</v>
      </c>
      <c r="P29" s="8" t="s">
        <v>2674</v>
      </c>
    </row>
    <row r="30" spans="1:17" ht="12" customHeight="1">
      <c r="A30" s="8" t="s">
        <v>2776</v>
      </c>
      <c r="B30" s="8" t="s">
        <v>2777</v>
      </c>
      <c r="C30" s="31">
        <v>44625</v>
      </c>
      <c r="D30" s="31">
        <v>44639</v>
      </c>
      <c r="E30" s="8" t="s">
        <v>2778</v>
      </c>
      <c r="G30" s="132" t="s">
        <v>2779</v>
      </c>
      <c r="H30" s="8" t="s">
        <v>2780</v>
      </c>
      <c r="I30" s="8" t="s">
        <v>18</v>
      </c>
      <c r="J30" s="8" t="s">
        <v>51</v>
      </c>
      <c r="K30" s="15" t="s">
        <v>2781</v>
      </c>
      <c r="L30" s="8" t="s">
        <v>2782</v>
      </c>
      <c r="N30" s="1536" t="s">
        <v>2783</v>
      </c>
      <c r="O30" s="1537">
        <v>2180</v>
      </c>
      <c r="P30" s="8" t="s">
        <v>1401</v>
      </c>
    </row>
    <row r="31" spans="1:17" ht="12" customHeight="1">
      <c r="A31" s="8" t="s">
        <v>2854</v>
      </c>
      <c r="B31" s="8" t="s">
        <v>2855</v>
      </c>
      <c r="C31" s="31">
        <v>44639</v>
      </c>
      <c r="D31" s="31">
        <v>44660</v>
      </c>
      <c r="E31" s="8" t="s">
        <v>2856</v>
      </c>
      <c r="G31" s="132" t="s">
        <v>2857</v>
      </c>
      <c r="H31" s="8" t="s">
        <v>2858</v>
      </c>
      <c r="I31" s="8" t="s">
        <v>18</v>
      </c>
      <c r="J31" s="8" t="s">
        <v>51</v>
      </c>
      <c r="K31" s="15" t="s">
        <v>2859</v>
      </c>
      <c r="L31" s="8" t="s">
        <v>2860</v>
      </c>
      <c r="N31" s="1536" t="s">
        <v>2861</v>
      </c>
      <c r="O31" s="1537">
        <f>2280+2*3*14</f>
        <v>2364</v>
      </c>
      <c r="P31" s="8" t="s">
        <v>3728</v>
      </c>
    </row>
    <row r="32" spans="1:17" ht="12" customHeight="1">
      <c r="C32" s="31"/>
      <c r="D32" s="31"/>
      <c r="G32" s="132"/>
      <c r="K32" s="15"/>
      <c r="N32" s="1536"/>
      <c r="O32" s="1537"/>
    </row>
    <row r="33" spans="1:16" ht="12" customHeight="1">
      <c r="C33" s="31"/>
      <c r="D33" s="31"/>
      <c r="G33" s="132"/>
      <c r="K33" s="15"/>
      <c r="N33" s="1536"/>
      <c r="O33" s="1537"/>
    </row>
    <row r="34" spans="1:16" ht="12" customHeight="1">
      <c r="A34" s="870" t="s">
        <v>3719</v>
      </c>
      <c r="C34" s="31"/>
      <c r="D34" s="31"/>
      <c r="G34" s="132"/>
      <c r="K34" s="15"/>
      <c r="N34" s="1536"/>
      <c r="O34" s="1537"/>
    </row>
    <row r="35" spans="1:16" ht="12" customHeight="1">
      <c r="A35" s="8" t="s">
        <v>3103</v>
      </c>
      <c r="B35" s="8" t="s">
        <v>1509</v>
      </c>
      <c r="C35" s="31">
        <v>44856</v>
      </c>
      <c r="D35" s="31">
        <v>44870</v>
      </c>
      <c r="E35" s="8" t="s">
        <v>3104</v>
      </c>
      <c r="G35" s="132" t="s">
        <v>3105</v>
      </c>
      <c r="H35" s="8" t="s">
        <v>3106</v>
      </c>
      <c r="I35" s="8" t="s">
        <v>18</v>
      </c>
      <c r="J35" s="8" t="s">
        <v>51</v>
      </c>
      <c r="K35" s="15" t="s">
        <v>3107</v>
      </c>
      <c r="L35" s="8" t="s">
        <v>3108</v>
      </c>
      <c r="N35" s="1536" t="s">
        <v>3109</v>
      </c>
      <c r="O35" s="1537">
        <f>2380+70+2*3*14</f>
        <v>2534</v>
      </c>
      <c r="P35" s="8" t="s">
        <v>1192</v>
      </c>
    </row>
    <row r="36" spans="1:16" s="1104" customFormat="1" ht="12" customHeight="1">
      <c r="A36" s="870" t="s">
        <v>3140</v>
      </c>
      <c r="B36" s="8" t="s">
        <v>3139</v>
      </c>
      <c r="C36" s="31">
        <v>44870</v>
      </c>
      <c r="D36" s="31">
        <v>44891</v>
      </c>
      <c r="E36" s="8" t="s">
        <v>3142</v>
      </c>
      <c r="F36" s="8"/>
      <c r="G36" s="132" t="s">
        <v>3143</v>
      </c>
      <c r="H36" s="8" t="s">
        <v>3144</v>
      </c>
      <c r="I36" s="8" t="s">
        <v>18</v>
      </c>
      <c r="J36" s="8" t="s">
        <v>51</v>
      </c>
      <c r="K36" s="15"/>
      <c r="L36" s="8" t="s">
        <v>3141</v>
      </c>
      <c r="M36" s="8"/>
      <c r="N36" s="1536" t="s">
        <v>3138</v>
      </c>
      <c r="O36" s="1537">
        <f>1090*3+2*3*21</f>
        <v>3396</v>
      </c>
      <c r="P36" s="1104" t="s">
        <v>1192</v>
      </c>
    </row>
    <row r="37" spans="1:16" s="1104" customFormat="1" ht="12" customHeight="1">
      <c r="A37" s="870" t="s">
        <v>3156</v>
      </c>
      <c r="B37" s="8" t="s">
        <v>538</v>
      </c>
      <c r="C37" s="31">
        <v>44898</v>
      </c>
      <c r="D37" s="31">
        <v>44912</v>
      </c>
      <c r="E37" s="8"/>
      <c r="F37" s="8"/>
      <c r="G37" s="132"/>
      <c r="H37" s="8"/>
      <c r="I37" s="8" t="s">
        <v>18</v>
      </c>
      <c r="J37" s="8" t="s">
        <v>51</v>
      </c>
      <c r="K37" s="15"/>
      <c r="L37" s="8" t="s">
        <v>3157</v>
      </c>
      <c r="M37" s="8"/>
      <c r="N37" s="1536" t="s">
        <v>3158</v>
      </c>
      <c r="O37" s="1537">
        <f>2180+70</f>
        <v>2250</v>
      </c>
      <c r="P37" s="1104" t="s">
        <v>199</v>
      </c>
    </row>
    <row r="38" spans="1:16" ht="12" customHeight="1">
      <c r="A38" s="8" t="s">
        <v>3056</v>
      </c>
      <c r="B38" s="8" t="s">
        <v>3063</v>
      </c>
      <c r="C38" s="31">
        <v>44912</v>
      </c>
      <c r="D38" s="31">
        <v>44958</v>
      </c>
      <c r="E38" s="8" t="s">
        <v>3057</v>
      </c>
      <c r="G38" s="132" t="s">
        <v>3058</v>
      </c>
      <c r="H38" s="8" t="s">
        <v>3059</v>
      </c>
      <c r="I38" s="8" t="s">
        <v>18</v>
      </c>
      <c r="J38" s="8" t="s">
        <v>51</v>
      </c>
      <c r="K38" s="15" t="s">
        <v>3061</v>
      </c>
      <c r="L38" s="8" t="s">
        <v>3060</v>
      </c>
      <c r="N38" s="1536" t="s">
        <v>3192</v>
      </c>
      <c r="O38" s="1537">
        <f>2780+2*3*14</f>
        <v>2864</v>
      </c>
      <c r="P38" s="1104" t="s">
        <v>1192</v>
      </c>
    </row>
    <row r="39" spans="1:16" ht="12" customHeight="1">
      <c r="A39" s="8" t="s">
        <v>3149</v>
      </c>
      <c r="B39" s="8" t="s">
        <v>3148</v>
      </c>
      <c r="C39" s="31">
        <v>44932</v>
      </c>
      <c r="D39" s="31">
        <v>44940</v>
      </c>
      <c r="E39" s="8" t="s">
        <v>3150</v>
      </c>
      <c r="G39" s="132" t="s">
        <v>3151</v>
      </c>
      <c r="H39" s="8" t="s">
        <v>3152</v>
      </c>
      <c r="I39" s="8" t="s">
        <v>18</v>
      </c>
      <c r="J39" s="8" t="s">
        <v>51</v>
      </c>
      <c r="K39" s="15"/>
      <c r="L39" s="8" t="s">
        <v>3153</v>
      </c>
      <c r="N39" s="1536" t="s">
        <v>3154</v>
      </c>
      <c r="O39" s="1537">
        <f>1200+8*3</f>
        <v>1224</v>
      </c>
      <c r="P39" s="8" t="s">
        <v>3729</v>
      </c>
    </row>
    <row r="40" spans="1:16" ht="12" customHeight="1">
      <c r="A40" s="8" t="s">
        <v>2470</v>
      </c>
      <c r="B40" s="8" t="s">
        <v>2471</v>
      </c>
      <c r="C40" s="31">
        <v>44940</v>
      </c>
      <c r="D40" s="31">
        <v>44947</v>
      </c>
      <c r="E40" s="8" t="s">
        <v>2472</v>
      </c>
      <c r="G40" s="132" t="s">
        <v>2473</v>
      </c>
      <c r="H40" s="8" t="s">
        <v>2474</v>
      </c>
      <c r="I40" s="8" t="s">
        <v>18</v>
      </c>
      <c r="J40" s="8" t="s">
        <v>51</v>
      </c>
      <c r="L40" s="8" t="s">
        <v>2476</v>
      </c>
      <c r="N40" s="1536" t="s">
        <v>2475</v>
      </c>
      <c r="O40" s="1537">
        <f>1090+70</f>
        <v>1160</v>
      </c>
      <c r="P40" s="8" t="s">
        <v>3730</v>
      </c>
    </row>
    <row r="41" spans="1:16" s="1104" customFormat="1" ht="12" customHeight="1">
      <c r="A41" s="8" t="s">
        <v>614</v>
      </c>
      <c r="B41" s="8" t="s">
        <v>3032</v>
      </c>
      <c r="C41" s="31">
        <v>44954</v>
      </c>
      <c r="D41" s="31">
        <v>44961</v>
      </c>
      <c r="E41" s="8" t="s">
        <v>3033</v>
      </c>
      <c r="F41" s="8"/>
      <c r="G41" s="132" t="s">
        <v>3034</v>
      </c>
      <c r="H41" s="8" t="s">
        <v>3035</v>
      </c>
      <c r="I41" s="8" t="s">
        <v>18</v>
      </c>
      <c r="J41" s="8" t="s">
        <v>51</v>
      </c>
      <c r="K41" s="15" t="s">
        <v>3037</v>
      </c>
      <c r="L41" s="8" t="s">
        <v>3036</v>
      </c>
      <c r="M41" s="8"/>
      <c r="N41" s="1536" t="s">
        <v>3038</v>
      </c>
      <c r="O41" s="1537">
        <f>1090+70+21</f>
        <v>1181</v>
      </c>
      <c r="P41" s="1104" t="s">
        <v>1192</v>
      </c>
    </row>
    <row r="42" spans="1:16" ht="12" customHeight="1">
      <c r="A42" s="8" t="s">
        <v>2304</v>
      </c>
      <c r="B42" s="8" t="s">
        <v>1772</v>
      </c>
      <c r="C42" s="31">
        <v>44961</v>
      </c>
      <c r="D42" s="31">
        <v>44968</v>
      </c>
      <c r="E42" s="8" t="s">
        <v>2305</v>
      </c>
      <c r="G42" s="132" t="s">
        <v>2306</v>
      </c>
      <c r="H42" s="8" t="s">
        <v>2307</v>
      </c>
      <c r="I42" s="8" t="s">
        <v>18</v>
      </c>
      <c r="J42" s="8" t="s">
        <v>1023</v>
      </c>
      <c r="K42" s="8" t="s">
        <v>2309</v>
      </c>
      <c r="L42" s="8" t="s">
        <v>2308</v>
      </c>
      <c r="N42" s="1536" t="s">
        <v>2310</v>
      </c>
      <c r="O42" s="1537">
        <f>1090+70+3*3*7</f>
        <v>1223</v>
      </c>
      <c r="P42" s="8" t="s">
        <v>2294</v>
      </c>
    </row>
    <row r="43" spans="1:16" s="856" customFormat="1" ht="12" customHeight="1">
      <c r="A43" s="856" t="s">
        <v>2727</v>
      </c>
      <c r="B43" s="856" t="s">
        <v>2728</v>
      </c>
      <c r="C43" s="1540">
        <v>44968</v>
      </c>
      <c r="D43" s="1541">
        <v>44982</v>
      </c>
      <c r="E43" s="856" t="s">
        <v>2729</v>
      </c>
      <c r="G43" s="857" t="s">
        <v>2730</v>
      </c>
      <c r="H43" s="856" t="s">
        <v>2731</v>
      </c>
      <c r="I43" s="856" t="s">
        <v>1775</v>
      </c>
      <c r="J43" s="856" t="s">
        <v>51</v>
      </c>
      <c r="K43" s="1542"/>
      <c r="L43" s="856" t="s">
        <v>3117</v>
      </c>
      <c r="N43" s="1543" t="s">
        <v>2732</v>
      </c>
      <c r="O43" s="1544">
        <f>2380+70+2*3*14</f>
        <v>2534</v>
      </c>
      <c r="P43" s="856" t="s">
        <v>3731</v>
      </c>
    </row>
    <row r="44" spans="1:16" ht="12" customHeight="1">
      <c r="A44" s="8" t="s">
        <v>2379</v>
      </c>
      <c r="B44" s="8" t="s">
        <v>1669</v>
      </c>
      <c r="C44" s="31">
        <v>44982</v>
      </c>
      <c r="D44" s="31">
        <v>44996</v>
      </c>
      <c r="E44" s="8" t="s">
        <v>2380</v>
      </c>
      <c r="G44" s="132" t="s">
        <v>2381</v>
      </c>
      <c r="H44" s="7" t="s">
        <v>2382</v>
      </c>
      <c r="I44" s="8" t="s">
        <v>18</v>
      </c>
      <c r="J44" s="8" t="s">
        <v>51</v>
      </c>
      <c r="L44" s="15" t="s">
        <v>2383</v>
      </c>
      <c r="N44" s="1536" t="s">
        <v>2384</v>
      </c>
      <c r="O44" s="1537">
        <f>2380+70+14*2*3</f>
        <v>2534</v>
      </c>
      <c r="P44" s="8" t="s">
        <v>2023</v>
      </c>
    </row>
    <row r="45" spans="1:16">
      <c r="A45" s="8" t="s">
        <v>2898</v>
      </c>
      <c r="B45" s="8" t="s">
        <v>2899</v>
      </c>
      <c r="C45" s="31">
        <v>44996</v>
      </c>
      <c r="D45" s="31">
        <v>45017</v>
      </c>
      <c r="E45" s="8" t="s">
        <v>2900</v>
      </c>
      <c r="G45" s="132"/>
      <c r="H45" s="7" t="s">
        <v>2901</v>
      </c>
      <c r="I45" s="8" t="s">
        <v>18</v>
      </c>
      <c r="J45" s="8" t="s">
        <v>51</v>
      </c>
      <c r="L45" s="8" t="s">
        <v>2902</v>
      </c>
      <c r="N45" s="1536" t="s">
        <v>2903</v>
      </c>
      <c r="O45" s="1537">
        <f>1090*3+70+3*3*21</f>
        <v>3529</v>
      </c>
      <c r="P45" s="8" t="s">
        <v>1321</v>
      </c>
    </row>
    <row r="47" spans="1:16" s="1533" customFormat="1" ht="12">
      <c r="A47" s="1534"/>
      <c r="B47" s="1534"/>
      <c r="C47" s="1534"/>
      <c r="D47" s="1534"/>
      <c r="E47" s="1534"/>
      <c r="F47" s="1534"/>
      <c r="G47" s="1534"/>
      <c r="H47" s="1534"/>
      <c r="I47" s="1534"/>
      <c r="J47" s="1534"/>
      <c r="K47" s="1534"/>
      <c r="L47" s="1534"/>
      <c r="M47" s="1534"/>
      <c r="N47" s="1534"/>
      <c r="O47" s="1545"/>
    </row>
    <row r="48" spans="1:16" s="1533" customFormat="1" ht="12">
      <c r="A48" s="1534"/>
      <c r="B48" s="1534"/>
      <c r="C48" s="1534"/>
      <c r="D48" s="1534"/>
      <c r="E48" s="1534"/>
      <c r="F48" s="1534"/>
      <c r="G48" s="1534"/>
      <c r="H48" s="1534"/>
      <c r="I48" s="1534"/>
      <c r="J48" s="1534"/>
      <c r="K48" s="1534"/>
      <c r="L48" s="1534"/>
      <c r="M48" s="1534"/>
      <c r="N48" s="1534"/>
      <c r="O48" s="1545"/>
    </row>
    <row r="49" spans="1:15" s="1533" customFormat="1" ht="11.4">
      <c r="A49" s="1533" t="s">
        <v>3721</v>
      </c>
      <c r="O49" s="1546">
        <f>SUM(O4:O15)</f>
        <v>24039</v>
      </c>
    </row>
    <row r="50" spans="1:15" s="1535" customFormat="1" ht="11.4">
      <c r="A50" s="1535" t="s">
        <v>3740</v>
      </c>
      <c r="O50" s="1547"/>
    </row>
    <row r="51" spans="1:15" s="1533" customFormat="1" ht="11.4">
      <c r="A51" s="1533" t="s">
        <v>3722</v>
      </c>
      <c r="O51" s="1546">
        <f>SUM(O21:O31)</f>
        <v>23887</v>
      </c>
    </row>
    <row r="52" spans="1:15" s="1533" customFormat="1" ht="11.4">
      <c r="A52" s="1533" t="s">
        <v>3723</v>
      </c>
      <c r="O52" s="1546">
        <f>SUM(O35:O45)</f>
        <v>24429</v>
      </c>
    </row>
    <row r="53" spans="1:15" s="1549" customFormat="1" ht="12">
      <c r="A53" s="1550" t="s">
        <v>3741</v>
      </c>
      <c r="B53" s="1548"/>
      <c r="C53" s="1548"/>
      <c r="D53" s="1548"/>
      <c r="E53" s="1548"/>
      <c r="F53" s="1548"/>
      <c r="G53" s="1548"/>
      <c r="H53" s="1548"/>
      <c r="I53" s="1548"/>
      <c r="J53" s="1548"/>
      <c r="K53" s="1548"/>
      <c r="L53" s="1548"/>
      <c r="M53" s="1548"/>
      <c r="N53" s="1548"/>
      <c r="O53" s="1551">
        <f>(O49+O51+O52)/3</f>
        <v>24118.333333333332</v>
      </c>
    </row>
  </sheetData>
  <hyperlinks>
    <hyperlink ref="N5" r:id="rId1" xr:uid="{E3D0BAA9-5F59-4416-84BB-593A9359A4AF}"/>
    <hyperlink ref="N11" r:id="rId2" xr:uid="{84E67A6F-530B-4318-8484-87D77919DF0A}"/>
    <hyperlink ref="N28" r:id="rId3" xr:uid="{506CDDCB-AE96-41A6-B181-15902FBAD056}"/>
    <hyperlink ref="N43" r:id="rId4" xr:uid="{C5335DAA-3EEF-41DC-930B-36C68F62B601}"/>
    <hyperlink ref="N30" r:id="rId5" xr:uid="{78B69242-286D-4F77-9914-E538B070063B}"/>
    <hyperlink ref="N31" r:id="rId6" xr:uid="{6CB86DAD-48A0-4521-A338-1147ACE23598}"/>
    <hyperlink ref="N29" r:id="rId7" xr:uid="{3DC05F71-B947-4F9D-AD43-3403C629F1D9}"/>
    <hyperlink ref="N42" r:id="rId8" xr:uid="{5150A4CE-D850-411C-AD6B-BA6FD710A5A3}"/>
    <hyperlink ref="N25" r:id="rId9" xr:uid="{8A997CEF-0064-44D4-B1E3-CC8FD96E9FB7}"/>
    <hyperlink ref="N21" r:id="rId10" xr:uid="{91341973-A4F8-4339-98EF-D993F9039F50}"/>
    <hyperlink ref="N41" r:id="rId11" xr:uid="{C375E982-45F5-4E98-B666-51B2FEA142A3}"/>
    <hyperlink ref="N45" r:id="rId12" xr:uid="{BA276858-C88F-41F7-82E0-835D608139BF}"/>
    <hyperlink ref="N27" r:id="rId13" xr:uid="{64266DA6-3BB1-4336-82E6-A4E02A621006}"/>
    <hyperlink ref="N35" r:id="rId14" xr:uid="{9B197878-AD7C-4789-8690-91ABE1D3A0AC}"/>
    <hyperlink ref="N39" r:id="rId15" xr:uid="{2C6DD4C9-FF33-44DA-9D5D-BEE7488D9541}"/>
    <hyperlink ref="N37" r:id="rId16" xr:uid="{474F75BE-FAD0-435C-AC61-DC4417C1FC20}"/>
    <hyperlink ref="N44" r:id="rId17" xr:uid="{2544129D-D969-4915-ACD0-0499974F36E2}"/>
    <hyperlink ref="N40" r:id="rId18" xr:uid="{6AAEA357-A3D3-4B0E-A614-0CCB93783917}"/>
    <hyperlink ref="N38" r:id="rId19" xr:uid="{ED1D4714-A2B5-4844-AE18-CEA88418D20E}"/>
    <hyperlink ref="N8" r:id="rId20" xr:uid="{B08416C3-EEAB-4ECD-B347-7363B0AA8A82}"/>
    <hyperlink ref="N10" r:id="rId21" xr:uid="{DE951266-229C-4DC5-B37A-666E9A820F51}"/>
    <hyperlink ref="N6" r:id="rId22" xr:uid="{226B35A0-253C-41BD-BB00-560B67103C52}"/>
    <hyperlink ref="N7" r:id="rId23" xr:uid="{F14201E0-8C07-4C5C-B59B-ED58DB2691CC}"/>
    <hyperlink ref="N12" r:id="rId24" xr:uid="{C2372291-C2C7-44C3-863D-9B0984CFB7DC}"/>
    <hyperlink ref="N13" r:id="rId25" xr:uid="{2424C3F0-E899-461F-BDED-E652BF1026C1}"/>
    <hyperlink ref="N14" r:id="rId26" xr:uid="{A2F663A5-C2C5-423E-8040-AFDD3561F869}"/>
    <hyperlink ref="N15" r:id="rId27" xr:uid="{760146E1-073B-4E4E-87BB-A9BFAAB6437C}"/>
    <hyperlink ref="N22" r:id="rId28" xr:uid="{993184E7-7F00-42C4-8A09-4721A90B9C7F}"/>
    <hyperlink ref="N23" r:id="rId29" xr:uid="{14480F02-B179-4C74-88F9-C305AFAFD35A}"/>
    <hyperlink ref="N26" r:id="rId30" xr:uid="{79B488D9-4AAE-4105-9A88-353267728518}"/>
  </hyperlinks>
  <pageMargins left="0.25" right="0.25" top="0.75" bottom="0.75" header="0.3" footer="0.3"/>
  <pageSetup paperSize="9" orientation="portrait" verticalDpi="0" r:id="rId3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6870B-594B-44CB-8A09-9B3468D35F64}">
  <dimension ref="A1:Z749"/>
  <sheetViews>
    <sheetView topLeftCell="A423" workbookViewId="0">
      <selection activeCell="N235" sqref="N235:N344"/>
    </sheetView>
  </sheetViews>
  <sheetFormatPr baseColWidth="10" defaultColWidth="12.21875" defaultRowHeight="10.199999999999999"/>
  <cols>
    <col min="1" max="1" width="14" style="8" customWidth="1"/>
    <col min="2" max="2" width="18.33203125" style="8" customWidth="1"/>
    <col min="3" max="3" width="11.21875" style="31" customWidth="1"/>
    <col min="4" max="4" width="14.44140625" style="31" bestFit="1" customWidth="1"/>
    <col min="5" max="5" width="20.21875" style="8" customWidth="1"/>
    <col min="6" max="6" width="7.21875" style="8" hidden="1" customWidth="1"/>
    <col min="7" max="7" width="7.21875" style="132" customWidth="1"/>
    <col min="8" max="8" width="16.88671875" style="8" customWidth="1"/>
    <col min="9" max="9" width="8" style="8" customWidth="1"/>
    <col min="10" max="10" width="5.77734375" style="8" customWidth="1"/>
    <col min="11" max="11" width="13.77734375" style="8" customWidth="1"/>
    <col min="12" max="12" width="15.21875" style="8" customWidth="1"/>
    <col min="13" max="13" width="7.44140625" style="8" hidden="1" customWidth="1"/>
    <col min="14" max="14" width="20.109375" style="8" customWidth="1"/>
    <col min="15" max="15" width="19.21875" style="1015" bestFit="1" customWidth="1"/>
    <col min="16" max="16" width="16.33203125" style="8" hidden="1" customWidth="1"/>
    <col min="17" max="17" width="19.5546875" style="8" customWidth="1"/>
    <col min="18" max="18" width="4.77734375" style="685" bestFit="1" customWidth="1"/>
    <col min="19" max="19" width="6.6640625" style="132" customWidth="1"/>
    <col min="20" max="20" width="3.21875" style="132" customWidth="1"/>
    <col min="21" max="21" width="18.33203125" style="8" bestFit="1" customWidth="1"/>
    <col min="22" max="22" width="12.33203125" style="86" customWidth="1"/>
    <col min="23" max="23" width="12.21875" style="8"/>
    <col min="24" max="24" width="12.44140625" style="8" bestFit="1" customWidth="1"/>
    <col min="25" max="25" width="16.33203125" style="8" bestFit="1" customWidth="1"/>
    <col min="26" max="16384" width="12.21875" style="8"/>
  </cols>
  <sheetData>
    <row r="1" spans="1:26" ht="12" customHeight="1">
      <c r="A1" s="7" t="s">
        <v>0</v>
      </c>
      <c r="B1" s="7" t="s">
        <v>1</v>
      </c>
      <c r="C1" s="29" t="s">
        <v>370</v>
      </c>
      <c r="D1" s="29" t="s">
        <v>371</v>
      </c>
      <c r="E1" s="7" t="s">
        <v>2</v>
      </c>
      <c r="F1" s="7" t="s">
        <v>3</v>
      </c>
      <c r="G1" s="133" t="s">
        <v>4</v>
      </c>
      <c r="H1" s="7" t="s">
        <v>16</v>
      </c>
      <c r="I1" s="7" t="s">
        <v>5</v>
      </c>
      <c r="J1" s="7" t="s">
        <v>6</v>
      </c>
      <c r="K1" s="7" t="s">
        <v>7</v>
      </c>
      <c r="L1" s="7" t="s">
        <v>21</v>
      </c>
      <c r="M1" s="7" t="s">
        <v>8</v>
      </c>
      <c r="N1" s="7" t="s">
        <v>9</v>
      </c>
      <c r="O1" s="1012" t="s">
        <v>418</v>
      </c>
      <c r="P1" s="7" t="s">
        <v>38</v>
      </c>
      <c r="Q1" s="8" t="s">
        <v>67</v>
      </c>
      <c r="R1" s="685" t="s">
        <v>417</v>
      </c>
      <c r="S1" s="133" t="s">
        <v>416</v>
      </c>
      <c r="T1" s="133" t="s">
        <v>105</v>
      </c>
      <c r="U1" s="7" t="s">
        <v>231</v>
      </c>
      <c r="V1" s="86" t="s">
        <v>836</v>
      </c>
      <c r="W1" s="8" t="s">
        <v>835</v>
      </c>
      <c r="X1" s="8" t="s">
        <v>869</v>
      </c>
    </row>
    <row r="2" spans="1:26" ht="12" customHeight="1">
      <c r="A2" s="7"/>
      <c r="B2" s="7"/>
      <c r="C2" s="29"/>
      <c r="D2" s="29"/>
      <c r="E2" s="7"/>
      <c r="F2" s="7"/>
      <c r="G2" s="133"/>
      <c r="H2" s="7"/>
      <c r="I2" s="7"/>
      <c r="J2" s="7"/>
      <c r="K2" s="7"/>
      <c r="L2" s="7"/>
      <c r="M2" s="7"/>
      <c r="N2" s="7"/>
      <c r="O2" s="1012"/>
      <c r="P2" s="7"/>
      <c r="S2" s="133"/>
      <c r="T2" s="133"/>
      <c r="U2" s="7"/>
    </row>
    <row r="3" spans="1:26" ht="12" customHeight="1">
      <c r="A3" s="21" t="s">
        <v>660</v>
      </c>
      <c r="B3" s="21" t="s">
        <v>661</v>
      </c>
      <c r="C3" s="30">
        <v>40418</v>
      </c>
      <c r="D3" s="30">
        <v>40432</v>
      </c>
      <c r="E3" s="21" t="s">
        <v>662</v>
      </c>
      <c r="F3" s="21"/>
      <c r="G3" s="764" t="s">
        <v>664</v>
      </c>
      <c r="H3" s="21" t="s">
        <v>663</v>
      </c>
      <c r="I3" s="21" t="s">
        <v>18</v>
      </c>
      <c r="J3" s="21" t="s">
        <v>51</v>
      </c>
      <c r="K3" s="53" t="s">
        <v>666</v>
      </c>
      <c r="L3" s="21"/>
      <c r="M3" s="21"/>
      <c r="N3" s="50"/>
      <c r="O3" s="1013">
        <f>545*4+42+70</f>
        <v>2292</v>
      </c>
      <c r="P3" s="21"/>
      <c r="Q3" s="21" t="s">
        <v>659</v>
      </c>
      <c r="R3" s="876">
        <v>2</v>
      </c>
      <c r="S3" s="764">
        <v>4</v>
      </c>
      <c r="T3" s="764">
        <v>1</v>
      </c>
      <c r="U3" s="1363">
        <v>545</v>
      </c>
      <c r="V3" s="78"/>
      <c r="W3" s="21"/>
      <c r="X3" s="21"/>
      <c r="Y3" s="21"/>
      <c r="Z3" s="21"/>
    </row>
    <row r="4" spans="1:26" ht="12" customHeight="1">
      <c r="A4" s="21" t="s">
        <v>1053</v>
      </c>
      <c r="B4" s="21" t="s">
        <v>1054</v>
      </c>
      <c r="C4" s="30">
        <v>41489</v>
      </c>
      <c r="D4" s="30">
        <v>41503</v>
      </c>
      <c r="E4" s="21" t="s">
        <v>1055</v>
      </c>
      <c r="F4" s="21"/>
      <c r="G4" s="764">
        <v>70180</v>
      </c>
      <c r="H4" s="21" t="s">
        <v>1056</v>
      </c>
      <c r="I4" s="21" t="s">
        <v>18</v>
      </c>
      <c r="J4" s="21" t="s">
        <v>51</v>
      </c>
      <c r="K4" s="21" t="s">
        <v>1057</v>
      </c>
      <c r="L4" s="21" t="s">
        <v>1058</v>
      </c>
      <c r="M4" s="21"/>
      <c r="N4" s="50"/>
      <c r="O4" s="1013">
        <f>2*1990</f>
        <v>3980</v>
      </c>
      <c r="P4" s="21"/>
      <c r="Q4" s="21" t="s">
        <v>1060</v>
      </c>
      <c r="R4" s="876">
        <v>2</v>
      </c>
      <c r="S4" s="764" t="s">
        <v>1061</v>
      </c>
      <c r="T4" s="764">
        <v>1</v>
      </c>
      <c r="U4" s="1367">
        <f>985</f>
        <v>985</v>
      </c>
      <c r="V4" s="78">
        <v>41293</v>
      </c>
      <c r="W4" s="21" t="s">
        <v>791</v>
      </c>
      <c r="X4" s="21"/>
      <c r="Y4" s="21"/>
      <c r="Z4" s="21"/>
    </row>
    <row r="5" spans="1:26" s="21" customFormat="1" ht="12" customHeight="1">
      <c r="A5" s="505" t="s">
        <v>1619</v>
      </c>
      <c r="B5" s="115" t="s">
        <v>1602</v>
      </c>
      <c r="C5" s="116">
        <v>42616</v>
      </c>
      <c r="D5" s="116">
        <v>42623</v>
      </c>
      <c r="E5" s="115" t="s">
        <v>1608</v>
      </c>
      <c r="F5" s="115"/>
      <c r="G5" s="361" t="s">
        <v>1610</v>
      </c>
      <c r="H5" s="115" t="s">
        <v>1609</v>
      </c>
      <c r="I5" s="115" t="s">
        <v>18</v>
      </c>
      <c r="J5" s="115" t="s">
        <v>51</v>
      </c>
      <c r="K5" s="115" t="s">
        <v>1611</v>
      </c>
      <c r="L5" s="124" t="s">
        <v>1612</v>
      </c>
      <c r="M5" s="115"/>
      <c r="N5" s="860" t="s">
        <v>1701</v>
      </c>
      <c r="O5" s="1027">
        <v>1390</v>
      </c>
      <c r="P5" s="115"/>
      <c r="Q5" s="115" t="s">
        <v>199</v>
      </c>
      <c r="R5" s="682">
        <v>1</v>
      </c>
      <c r="S5" s="361" t="s">
        <v>1616</v>
      </c>
      <c r="T5" s="361">
        <v>2</v>
      </c>
      <c r="U5" s="119">
        <v>347.5</v>
      </c>
      <c r="V5" s="120"/>
      <c r="W5" s="115"/>
      <c r="X5" s="115"/>
      <c r="Y5" s="115"/>
      <c r="Z5" s="115"/>
    </row>
    <row r="6" spans="1:26" s="21" customFormat="1" ht="12" customHeight="1">
      <c r="A6" s="115" t="s">
        <v>2776</v>
      </c>
      <c r="B6" s="115" t="s">
        <v>2777</v>
      </c>
      <c r="C6" s="116">
        <v>44408</v>
      </c>
      <c r="D6" s="116">
        <v>44422</v>
      </c>
      <c r="E6" s="115" t="s">
        <v>2778</v>
      </c>
      <c r="F6" s="115"/>
      <c r="G6" s="361" t="s">
        <v>2779</v>
      </c>
      <c r="H6" s="115" t="s">
        <v>2780</v>
      </c>
      <c r="I6" s="115" t="s">
        <v>18</v>
      </c>
      <c r="J6" s="115" t="s">
        <v>51</v>
      </c>
      <c r="K6" s="124" t="s">
        <v>2781</v>
      </c>
      <c r="L6" s="115" t="s">
        <v>2782</v>
      </c>
      <c r="M6" s="115"/>
      <c r="N6" s="128" t="s">
        <v>2783</v>
      </c>
      <c r="O6" s="1027">
        <f>1990*2+70</f>
        <v>4050</v>
      </c>
      <c r="P6" s="115"/>
      <c r="Q6" s="115" t="s">
        <v>1244</v>
      </c>
      <c r="R6" s="682">
        <v>2</v>
      </c>
      <c r="S6" s="361">
        <v>4</v>
      </c>
      <c r="T6" s="361">
        <v>1</v>
      </c>
      <c r="U6" s="918">
        <v>1012.5</v>
      </c>
      <c r="V6" s="120">
        <v>44158</v>
      </c>
      <c r="W6" s="115" t="s">
        <v>1477</v>
      </c>
      <c r="X6" s="115" t="s">
        <v>1154</v>
      </c>
      <c r="Y6" s="115"/>
      <c r="Z6" s="115"/>
    </row>
    <row r="7" spans="1:26" s="21" customFormat="1" ht="12" customHeight="1">
      <c r="A7" s="8" t="s">
        <v>287</v>
      </c>
      <c r="B7" s="8"/>
      <c r="C7" s="31">
        <v>38605</v>
      </c>
      <c r="D7" s="31">
        <v>38619</v>
      </c>
      <c r="E7" s="8" t="s">
        <v>288</v>
      </c>
      <c r="F7" s="8"/>
      <c r="G7" s="132">
        <v>73061</v>
      </c>
      <c r="H7" s="8" t="s">
        <v>289</v>
      </c>
      <c r="I7" s="8" t="s">
        <v>18</v>
      </c>
      <c r="J7" s="8" t="s">
        <v>51</v>
      </c>
      <c r="K7" s="8"/>
      <c r="L7" s="8"/>
      <c r="M7" s="8"/>
      <c r="N7" s="49" t="s">
        <v>286</v>
      </c>
      <c r="O7" s="1012">
        <v>900</v>
      </c>
      <c r="P7" s="8"/>
      <c r="Q7" s="8" t="s">
        <v>311</v>
      </c>
      <c r="R7" s="685">
        <v>2</v>
      </c>
      <c r="S7" s="132">
        <v>2</v>
      </c>
      <c r="T7" s="132">
        <v>1</v>
      </c>
      <c r="U7" s="13" t="s">
        <v>232</v>
      </c>
      <c r="V7" s="86"/>
      <c r="W7" s="8"/>
      <c r="X7" s="8"/>
      <c r="Y7" s="8"/>
      <c r="Z7" s="8"/>
    </row>
    <row r="8" spans="1:26" s="21" customFormat="1" ht="12" customHeight="1">
      <c r="A8" s="115" t="s">
        <v>1689</v>
      </c>
      <c r="B8" s="115" t="s">
        <v>1688</v>
      </c>
      <c r="C8" s="116">
        <v>42945</v>
      </c>
      <c r="D8" s="116">
        <v>42952</v>
      </c>
      <c r="E8" s="115" t="s">
        <v>1693</v>
      </c>
      <c r="F8" s="115"/>
      <c r="G8" s="361" t="s">
        <v>1695</v>
      </c>
      <c r="H8" s="115" t="s">
        <v>1694</v>
      </c>
      <c r="I8" s="115" t="s">
        <v>18</v>
      </c>
      <c r="J8" s="115" t="s">
        <v>51</v>
      </c>
      <c r="K8" s="115"/>
      <c r="L8" s="115" t="s">
        <v>1691</v>
      </c>
      <c r="M8" s="115"/>
      <c r="N8" s="128" t="s">
        <v>1690</v>
      </c>
      <c r="O8" s="1027">
        <f>1990+70</f>
        <v>2060</v>
      </c>
      <c r="P8" s="115"/>
      <c r="Q8" s="115" t="s">
        <v>1692</v>
      </c>
      <c r="R8" s="682">
        <v>1</v>
      </c>
      <c r="S8" s="361">
        <v>2</v>
      </c>
      <c r="T8" s="361">
        <v>3</v>
      </c>
      <c r="U8" s="119">
        <v>513.25</v>
      </c>
      <c r="V8" s="120">
        <v>42785</v>
      </c>
      <c r="W8" s="115" t="s">
        <v>1651</v>
      </c>
      <c r="X8" s="115" t="s">
        <v>1154</v>
      </c>
      <c r="Y8" s="115"/>
      <c r="Z8" s="115"/>
    </row>
    <row r="9" spans="1:26" s="21" customFormat="1" ht="12" customHeight="1">
      <c r="A9" s="10" t="s">
        <v>290</v>
      </c>
      <c r="B9" s="8"/>
      <c r="C9" s="31">
        <v>38591</v>
      </c>
      <c r="D9" s="31">
        <v>38605</v>
      </c>
      <c r="E9" s="8" t="s">
        <v>291</v>
      </c>
      <c r="F9" s="8"/>
      <c r="G9" s="132">
        <v>66292</v>
      </c>
      <c r="H9" s="8" t="s">
        <v>292</v>
      </c>
      <c r="I9" s="8" t="s">
        <v>18</v>
      </c>
      <c r="J9" s="8" t="s">
        <v>51</v>
      </c>
      <c r="K9" s="8" t="s">
        <v>294</v>
      </c>
      <c r="L9" s="8" t="s">
        <v>295</v>
      </c>
      <c r="M9" s="8"/>
      <c r="N9" s="49"/>
      <c r="O9" s="1012">
        <v>1050</v>
      </c>
      <c r="P9" s="8"/>
      <c r="Q9" s="8" t="s">
        <v>312</v>
      </c>
      <c r="R9" s="685">
        <v>2</v>
      </c>
      <c r="S9" s="132">
        <v>2</v>
      </c>
      <c r="T9" s="132">
        <v>1</v>
      </c>
      <c r="U9" s="13" t="s">
        <v>232</v>
      </c>
      <c r="V9" s="86"/>
      <c r="W9" s="8"/>
      <c r="X9" s="8"/>
      <c r="Y9" s="8"/>
      <c r="Z9" s="8"/>
    </row>
    <row r="10" spans="1:26" s="21" customFormat="1" ht="12" customHeight="1">
      <c r="A10" s="505" t="s">
        <v>2446</v>
      </c>
      <c r="B10" s="115" t="s">
        <v>2447</v>
      </c>
      <c r="C10" s="116">
        <v>44016</v>
      </c>
      <c r="D10" s="116">
        <v>44030</v>
      </c>
      <c r="E10" s="115" t="s">
        <v>2448</v>
      </c>
      <c r="F10" s="115"/>
      <c r="G10" s="361" t="s">
        <v>2449</v>
      </c>
      <c r="H10" s="364" t="s">
        <v>2450</v>
      </c>
      <c r="I10" s="115" t="s">
        <v>168</v>
      </c>
      <c r="J10" s="115" t="s">
        <v>51</v>
      </c>
      <c r="K10" s="115"/>
      <c r="L10" s="124" t="s">
        <v>2451</v>
      </c>
      <c r="M10" s="115"/>
      <c r="N10" s="128" t="s">
        <v>2452</v>
      </c>
      <c r="O10" s="1027">
        <f>2*1990+70</f>
        <v>4050</v>
      </c>
      <c r="P10" s="115"/>
      <c r="Q10" s="115" t="s">
        <v>2250</v>
      </c>
      <c r="R10" s="682">
        <v>2</v>
      </c>
      <c r="S10" s="361">
        <v>6</v>
      </c>
      <c r="T10" s="361">
        <v>2</v>
      </c>
      <c r="U10" s="119"/>
      <c r="V10" s="120">
        <v>43842</v>
      </c>
      <c r="W10" s="115" t="s">
        <v>1338</v>
      </c>
      <c r="X10" s="115" t="s">
        <v>1154</v>
      </c>
      <c r="Y10" s="115"/>
      <c r="Z10" s="115"/>
    </row>
    <row r="11" spans="1:26" s="21" customFormat="1" ht="12" customHeight="1">
      <c r="A11" s="1646" t="s">
        <v>3919</v>
      </c>
      <c r="B11" s="115" t="s">
        <v>3920</v>
      </c>
      <c r="C11" s="116">
        <v>45479</v>
      </c>
      <c r="D11" s="116">
        <v>45493</v>
      </c>
      <c r="E11" s="1613" t="s">
        <v>3918</v>
      </c>
      <c r="F11" s="115"/>
      <c r="G11" s="361" t="s">
        <v>3922</v>
      </c>
      <c r="H11" s="1613" t="s">
        <v>3921</v>
      </c>
      <c r="I11" s="115" t="s">
        <v>18</v>
      </c>
      <c r="J11" s="115" t="s">
        <v>51</v>
      </c>
      <c r="K11" s="124"/>
      <c r="L11" s="115" t="s">
        <v>3923</v>
      </c>
      <c r="M11" s="115"/>
      <c r="N11" s="121" t="s">
        <v>3939</v>
      </c>
      <c r="O11" s="1027">
        <f>2490*2</f>
        <v>4980</v>
      </c>
      <c r="P11" s="115"/>
      <c r="Q11" s="115" t="s">
        <v>3094</v>
      </c>
      <c r="R11" s="682">
        <v>2</v>
      </c>
      <c r="S11" s="361">
        <v>4</v>
      </c>
      <c r="T11" s="361">
        <v>2</v>
      </c>
      <c r="U11" s="1614">
        <v>1245</v>
      </c>
      <c r="V11" s="120">
        <v>45346</v>
      </c>
      <c r="W11" s="115" t="s">
        <v>1477</v>
      </c>
      <c r="X11" s="115" t="s">
        <v>1154</v>
      </c>
      <c r="Y11" s="115"/>
      <c r="Z11" s="115"/>
    </row>
    <row r="12" spans="1:26" s="21" customFormat="1" ht="12" customHeight="1">
      <c r="A12" s="505" t="s">
        <v>2898</v>
      </c>
      <c r="B12" s="115" t="s">
        <v>2899</v>
      </c>
      <c r="C12" s="116">
        <v>44345</v>
      </c>
      <c r="D12" s="116">
        <v>44352</v>
      </c>
      <c r="E12" s="961" t="s">
        <v>2900</v>
      </c>
      <c r="F12" s="115"/>
      <c r="G12" s="361"/>
      <c r="H12" s="496" t="s">
        <v>2901</v>
      </c>
      <c r="I12" s="115" t="s">
        <v>18</v>
      </c>
      <c r="J12" s="115" t="s">
        <v>51</v>
      </c>
      <c r="K12" s="115"/>
      <c r="L12" s="961" t="s">
        <v>2902</v>
      </c>
      <c r="M12" s="115"/>
      <c r="N12" s="128" t="s">
        <v>2903</v>
      </c>
      <c r="O12" s="1027">
        <v>1190</v>
      </c>
      <c r="P12" s="115"/>
      <c r="Q12" s="115" t="s">
        <v>2674</v>
      </c>
      <c r="R12" s="682">
        <v>1</v>
      </c>
      <c r="S12" s="361">
        <v>2</v>
      </c>
      <c r="T12" s="361">
        <v>1</v>
      </c>
      <c r="U12" s="119">
        <f>297.5+892.5</f>
        <v>1190</v>
      </c>
      <c r="V12" s="120">
        <v>44274</v>
      </c>
      <c r="W12" s="115" t="s">
        <v>2904</v>
      </c>
      <c r="X12" s="115" t="s">
        <v>1154</v>
      </c>
      <c r="Y12" s="115"/>
      <c r="Z12" s="446"/>
    </row>
    <row r="13" spans="1:26" s="21" customFormat="1" ht="12" customHeight="1">
      <c r="A13" s="115" t="s">
        <v>2898</v>
      </c>
      <c r="B13" s="115" t="s">
        <v>2899</v>
      </c>
      <c r="C13" s="116">
        <v>44702</v>
      </c>
      <c r="D13" s="116">
        <v>44709</v>
      </c>
      <c r="E13" s="961" t="s">
        <v>2900</v>
      </c>
      <c r="F13" s="115"/>
      <c r="G13" s="361"/>
      <c r="H13" s="496" t="s">
        <v>2901</v>
      </c>
      <c r="I13" s="115" t="s">
        <v>18</v>
      </c>
      <c r="J13" s="115" t="s">
        <v>51</v>
      </c>
      <c r="K13" s="115"/>
      <c r="L13" s="961" t="s">
        <v>2902</v>
      </c>
      <c r="M13" s="115"/>
      <c r="N13" s="128" t="s">
        <v>2903</v>
      </c>
      <c r="O13" s="1027">
        <v>1190</v>
      </c>
      <c r="P13" s="115"/>
      <c r="Q13" s="115" t="s">
        <v>2674</v>
      </c>
      <c r="R13" s="682">
        <v>1</v>
      </c>
      <c r="S13" s="361">
        <v>2</v>
      </c>
      <c r="T13" s="361">
        <v>1</v>
      </c>
      <c r="U13" s="119">
        <v>297.5</v>
      </c>
      <c r="V13" s="120">
        <v>44466</v>
      </c>
      <c r="W13" s="115" t="s">
        <v>3043</v>
      </c>
      <c r="X13" s="115" t="s">
        <v>1154</v>
      </c>
      <c r="Y13" s="115"/>
      <c r="Z13" s="446"/>
    </row>
    <row r="14" spans="1:26" s="21" customFormat="1" ht="12" customHeight="1">
      <c r="A14" s="1098" t="s">
        <v>3056</v>
      </c>
      <c r="B14" s="973" t="s">
        <v>3063</v>
      </c>
      <c r="C14" s="974">
        <v>44646</v>
      </c>
      <c r="D14" s="974">
        <v>44653</v>
      </c>
      <c r="E14" s="973" t="s">
        <v>3057</v>
      </c>
      <c r="F14" s="973"/>
      <c r="G14" s="976" t="s">
        <v>3058</v>
      </c>
      <c r="H14" s="973" t="s">
        <v>3059</v>
      </c>
      <c r="I14" s="973" t="s">
        <v>18</v>
      </c>
      <c r="J14" s="973" t="s">
        <v>51</v>
      </c>
      <c r="K14" s="1099" t="s">
        <v>3061</v>
      </c>
      <c r="L14" s="973" t="s">
        <v>3060</v>
      </c>
      <c r="M14" s="973"/>
      <c r="N14" s="1115" t="s">
        <v>3192</v>
      </c>
      <c r="O14" s="1100">
        <v>890</v>
      </c>
      <c r="P14" s="973"/>
      <c r="Q14" s="973" t="s">
        <v>3062</v>
      </c>
      <c r="R14" s="1101">
        <v>1</v>
      </c>
      <c r="S14" s="976">
        <v>3</v>
      </c>
      <c r="T14" s="976">
        <v>3</v>
      </c>
      <c r="U14" s="1102">
        <v>250</v>
      </c>
      <c r="V14" s="978">
        <v>44856</v>
      </c>
      <c r="W14" s="973" t="s">
        <v>1477</v>
      </c>
      <c r="X14" s="973" t="s">
        <v>1154</v>
      </c>
      <c r="Y14" s="973"/>
      <c r="Z14" s="973"/>
    </row>
    <row r="15" spans="1:26" s="21" customFormat="1" ht="12" customHeight="1">
      <c r="A15" s="1136" t="s">
        <v>3056</v>
      </c>
      <c r="B15" s="1136" t="s">
        <v>3063</v>
      </c>
      <c r="C15" s="1137">
        <v>44849</v>
      </c>
      <c r="D15" s="1137">
        <v>44856</v>
      </c>
      <c r="E15" s="1136" t="s">
        <v>3057</v>
      </c>
      <c r="F15" s="1136"/>
      <c r="G15" s="1139" t="s">
        <v>3058</v>
      </c>
      <c r="H15" s="1136" t="s">
        <v>3059</v>
      </c>
      <c r="I15" s="1136" t="s">
        <v>18</v>
      </c>
      <c r="J15" s="1136" t="s">
        <v>51</v>
      </c>
      <c r="K15" s="1145" t="s">
        <v>3061</v>
      </c>
      <c r="L15" s="1136" t="s">
        <v>3060</v>
      </c>
      <c r="M15" s="1136"/>
      <c r="N15" s="1146" t="s">
        <v>3192</v>
      </c>
      <c r="O15" s="1201">
        <f>1090+3*3*7+70</f>
        <v>1223</v>
      </c>
      <c r="P15" s="1136"/>
      <c r="Q15" s="1136" t="s">
        <v>1300</v>
      </c>
      <c r="R15" s="1142">
        <v>1</v>
      </c>
      <c r="S15" s="1139">
        <v>3</v>
      </c>
      <c r="T15" s="1139">
        <v>3</v>
      </c>
      <c r="U15" s="1202">
        <v>1233</v>
      </c>
      <c r="V15" s="1199">
        <v>44795</v>
      </c>
      <c r="W15" s="1136" t="s">
        <v>3328</v>
      </c>
      <c r="X15" s="1136" t="s">
        <v>1154</v>
      </c>
      <c r="Y15" s="1136"/>
      <c r="Z15" s="1136"/>
    </row>
    <row r="16" spans="1:26" s="21" customFormat="1" ht="12" customHeight="1">
      <c r="A16" s="505" t="s">
        <v>2894</v>
      </c>
      <c r="B16" s="115" t="s">
        <v>2893</v>
      </c>
      <c r="C16" s="116">
        <v>44443</v>
      </c>
      <c r="D16" s="116">
        <v>44450</v>
      </c>
      <c r="E16" s="361" t="s">
        <v>2931</v>
      </c>
      <c r="F16" s="115"/>
      <c r="G16" s="115" t="s">
        <v>2932</v>
      </c>
      <c r="H16" s="115" t="s">
        <v>2933</v>
      </c>
      <c r="I16" s="115" t="s">
        <v>18</v>
      </c>
      <c r="J16" s="115" t="s">
        <v>51</v>
      </c>
      <c r="K16" s="124"/>
      <c r="L16" s="115" t="s">
        <v>2895</v>
      </c>
      <c r="M16" s="115"/>
      <c r="N16" s="128" t="s">
        <v>2896</v>
      </c>
      <c r="O16" s="1027">
        <f>990+600+3*3*7+70</f>
        <v>1723</v>
      </c>
      <c r="P16" s="115"/>
      <c r="Q16" s="115" t="s">
        <v>1321</v>
      </c>
      <c r="R16" s="682">
        <v>1</v>
      </c>
      <c r="S16" s="361">
        <v>2</v>
      </c>
      <c r="T16" s="361">
        <v>3</v>
      </c>
      <c r="U16" s="918">
        <v>250</v>
      </c>
      <c r="V16" s="120">
        <v>44270</v>
      </c>
      <c r="W16" s="115" t="s">
        <v>1477</v>
      </c>
      <c r="X16" s="115" t="s">
        <v>1154</v>
      </c>
      <c r="Y16" s="115"/>
      <c r="Z16" s="115"/>
    </row>
    <row r="17" spans="1:26" s="21" customFormat="1" ht="12" customHeight="1">
      <c r="A17" s="20" t="s">
        <v>1412</v>
      </c>
      <c r="B17" s="21" t="s">
        <v>1413</v>
      </c>
      <c r="C17" s="30">
        <v>42217</v>
      </c>
      <c r="D17" s="30">
        <v>42231</v>
      </c>
      <c r="E17" s="21" t="s">
        <v>1414</v>
      </c>
      <c r="G17" s="764" t="s">
        <v>1415</v>
      </c>
      <c r="H17" s="21" t="s">
        <v>1416</v>
      </c>
      <c r="I17" s="21" t="s">
        <v>18</v>
      </c>
      <c r="J17" s="21" t="s">
        <v>51</v>
      </c>
      <c r="K17" s="21" t="s">
        <v>1417</v>
      </c>
      <c r="L17" s="21" t="s">
        <v>1418</v>
      </c>
      <c r="N17" s="50" t="s">
        <v>1419</v>
      </c>
      <c r="O17" s="1013">
        <v>3600</v>
      </c>
      <c r="Q17" s="21" t="s">
        <v>1420</v>
      </c>
      <c r="R17" s="876">
        <v>2</v>
      </c>
      <c r="S17" s="764">
        <v>4</v>
      </c>
      <c r="T17" s="764">
        <v>1</v>
      </c>
      <c r="U17" s="75">
        <v>900</v>
      </c>
      <c r="V17" s="78">
        <v>42039</v>
      </c>
      <c r="W17" s="21" t="s">
        <v>791</v>
      </c>
      <c r="X17" s="21" t="s">
        <v>1217</v>
      </c>
    </row>
    <row r="18" spans="1:26" s="21" customFormat="1" ht="12" customHeight="1">
      <c r="A18" s="1462" t="s">
        <v>3313</v>
      </c>
      <c r="B18" s="1069" t="s">
        <v>3314</v>
      </c>
      <c r="C18" s="1070">
        <v>45094</v>
      </c>
      <c r="D18" s="1070">
        <v>45108</v>
      </c>
      <c r="E18" s="1069" t="s">
        <v>3315</v>
      </c>
      <c r="F18" s="1069"/>
      <c r="G18" s="1071" t="s">
        <v>3316</v>
      </c>
      <c r="H18" s="1069" t="s">
        <v>3317</v>
      </c>
      <c r="I18" s="1069" t="s">
        <v>18</v>
      </c>
      <c r="J18" s="1069" t="s">
        <v>51</v>
      </c>
      <c r="K18" s="1072" t="s">
        <v>3321</v>
      </c>
      <c r="L18" s="1069" t="s">
        <v>3318</v>
      </c>
      <c r="M18" s="1069"/>
      <c r="N18" s="401" t="s">
        <v>3319</v>
      </c>
      <c r="O18" s="1074">
        <f>1990+2190+3*14*4+70</f>
        <v>4418</v>
      </c>
      <c r="P18" s="1069"/>
      <c r="Q18" s="1069" t="s">
        <v>3524</v>
      </c>
      <c r="R18" s="1075">
        <v>2</v>
      </c>
      <c r="S18" s="1071">
        <v>2</v>
      </c>
      <c r="T18" s="1071">
        <v>4</v>
      </c>
      <c r="U18" s="1076">
        <v>1348</v>
      </c>
      <c r="V18" s="1176">
        <v>44784</v>
      </c>
      <c r="W18" s="1069" t="s">
        <v>1477</v>
      </c>
      <c r="X18" s="1069" t="s">
        <v>1154</v>
      </c>
      <c r="Y18" s="1069" t="s">
        <v>3323</v>
      </c>
      <c r="Z18" s="1069"/>
    </row>
    <row r="19" spans="1:26" s="21" customFormat="1" ht="12" customHeight="1">
      <c r="A19" s="1200" t="s">
        <v>3016</v>
      </c>
      <c r="B19" s="1136" t="s">
        <v>682</v>
      </c>
      <c r="C19" s="1144">
        <v>44709</v>
      </c>
      <c r="D19" s="1137">
        <v>44723</v>
      </c>
      <c r="E19" s="1136" t="s">
        <v>3017</v>
      </c>
      <c r="F19" s="1136"/>
      <c r="G19" s="1139" t="s">
        <v>3018</v>
      </c>
      <c r="H19" s="1136" t="s">
        <v>3019</v>
      </c>
      <c r="I19" s="1136" t="s">
        <v>18</v>
      </c>
      <c r="J19" s="1136" t="s">
        <v>51</v>
      </c>
      <c r="K19" s="1145" t="s">
        <v>3021</v>
      </c>
      <c r="L19" s="1136" t="s">
        <v>3020</v>
      </c>
      <c r="M19" s="1136"/>
      <c r="N19" s="1146" t="s">
        <v>3022</v>
      </c>
      <c r="O19" s="1141">
        <f>1190+1390</f>
        <v>2580</v>
      </c>
      <c r="P19" s="1136"/>
      <c r="Q19" s="1136" t="s">
        <v>3023</v>
      </c>
      <c r="R19" s="1142">
        <v>2</v>
      </c>
      <c r="S19" s="1139">
        <v>6</v>
      </c>
      <c r="T19" s="1139">
        <v>3</v>
      </c>
      <c r="U19" s="1202">
        <v>645</v>
      </c>
      <c r="V19" s="1199">
        <v>44425</v>
      </c>
      <c r="W19" s="1136" t="s">
        <v>1477</v>
      </c>
      <c r="X19" s="1136" t="s">
        <v>1154</v>
      </c>
      <c r="Y19" s="1136"/>
      <c r="Z19" s="1136"/>
    </row>
    <row r="20" spans="1:26" ht="12" customHeight="1" thickBot="1">
      <c r="A20" s="20" t="s">
        <v>560</v>
      </c>
      <c r="B20" s="21" t="s">
        <v>561</v>
      </c>
      <c r="C20" s="30">
        <v>40096</v>
      </c>
      <c r="D20" s="30">
        <v>40110</v>
      </c>
      <c r="E20" s="21" t="s">
        <v>562</v>
      </c>
      <c r="F20" s="21"/>
      <c r="G20" s="764">
        <v>41466</v>
      </c>
      <c r="H20" s="21" t="s">
        <v>187</v>
      </c>
      <c r="I20" s="21" t="s">
        <v>18</v>
      </c>
      <c r="J20" s="21" t="s">
        <v>51</v>
      </c>
      <c r="K20" s="21" t="s">
        <v>563</v>
      </c>
      <c r="L20" s="21"/>
      <c r="M20" s="21"/>
      <c r="N20" s="50" t="s">
        <v>565</v>
      </c>
      <c r="O20" s="1013">
        <v>1580</v>
      </c>
      <c r="P20" s="21"/>
      <c r="Q20" s="21" t="s">
        <v>564</v>
      </c>
      <c r="R20" s="876">
        <v>2</v>
      </c>
      <c r="S20" s="764">
        <v>5</v>
      </c>
      <c r="T20" s="764">
        <v>1</v>
      </c>
      <c r="U20" s="43">
        <f>1580/4</f>
        <v>395</v>
      </c>
      <c r="V20" s="78"/>
      <c r="W20" s="21"/>
      <c r="X20" s="21"/>
      <c r="Y20" s="21"/>
      <c r="Z20" s="21"/>
    </row>
    <row r="21" spans="1:26" ht="12" customHeight="1" thickBot="1">
      <c r="A21" s="517" t="s">
        <v>1810</v>
      </c>
      <c r="B21" s="539" t="s">
        <v>396</v>
      </c>
      <c r="C21" s="116">
        <v>43022</v>
      </c>
      <c r="D21" s="116">
        <v>43029</v>
      </c>
      <c r="E21" s="115" t="s">
        <v>1765</v>
      </c>
      <c r="F21" s="115"/>
      <c r="G21" s="361" t="s">
        <v>1766</v>
      </c>
      <c r="H21" s="115" t="s">
        <v>868</v>
      </c>
      <c r="I21" s="115" t="s">
        <v>18</v>
      </c>
      <c r="J21" s="115" t="s">
        <v>51</v>
      </c>
      <c r="K21" s="115"/>
      <c r="L21" s="115" t="s">
        <v>1767</v>
      </c>
      <c r="M21" s="115"/>
      <c r="N21" s="128"/>
      <c r="O21" s="1027">
        <f>690+80+70</f>
        <v>840</v>
      </c>
      <c r="P21" s="115"/>
      <c r="Q21" s="115" t="s">
        <v>1768</v>
      </c>
      <c r="R21" s="682">
        <v>1</v>
      </c>
      <c r="S21" s="361">
        <v>5</v>
      </c>
      <c r="T21" s="361">
        <v>1</v>
      </c>
      <c r="U21" s="119">
        <v>200</v>
      </c>
      <c r="V21" s="120">
        <v>42906</v>
      </c>
      <c r="W21" s="115" t="s">
        <v>1769</v>
      </c>
      <c r="X21" s="115" t="s">
        <v>1154</v>
      </c>
      <c r="Y21" s="115"/>
      <c r="Z21" s="115"/>
    </row>
    <row r="22" spans="1:26" ht="12" customHeight="1" thickBot="1">
      <c r="A22" s="1638" t="s">
        <v>1596</v>
      </c>
      <c r="B22" s="1661" t="s">
        <v>1597</v>
      </c>
      <c r="C22" s="1674">
        <v>42609</v>
      </c>
      <c r="D22" s="833">
        <v>42616</v>
      </c>
      <c r="E22" s="832"/>
      <c r="F22" s="832"/>
      <c r="G22" s="834"/>
      <c r="H22" s="832"/>
      <c r="I22" s="832" t="s">
        <v>18</v>
      </c>
      <c r="J22" s="832" t="s">
        <v>51</v>
      </c>
      <c r="K22" s="832"/>
      <c r="L22" s="305" t="s">
        <v>1601</v>
      </c>
      <c r="M22" s="832"/>
      <c r="N22" s="128" t="s">
        <v>1758</v>
      </c>
      <c r="O22" s="1028">
        <f xml:space="preserve"> 1505/1.15</f>
        <v>1308.6956521739132</v>
      </c>
      <c r="P22" s="832"/>
      <c r="Q22" s="832" t="s">
        <v>1614</v>
      </c>
      <c r="R22" s="886">
        <v>1</v>
      </c>
      <c r="S22" s="834">
        <v>3</v>
      </c>
      <c r="T22" s="834">
        <v>1</v>
      </c>
      <c r="U22" s="1387"/>
      <c r="V22" s="837"/>
      <c r="W22" s="832" t="s">
        <v>1592</v>
      </c>
      <c r="X22" s="832"/>
      <c r="Y22" s="832"/>
      <c r="Z22" s="832"/>
    </row>
    <row r="23" spans="1:26" ht="12" customHeight="1" thickBot="1">
      <c r="A23" s="115" t="s">
        <v>1792</v>
      </c>
      <c r="B23" s="115" t="s">
        <v>1793</v>
      </c>
      <c r="C23" s="116">
        <v>43253</v>
      </c>
      <c r="D23" s="116">
        <v>43274</v>
      </c>
      <c r="E23" s="115" t="s">
        <v>1794</v>
      </c>
      <c r="F23" s="115"/>
      <c r="G23" s="361" t="s">
        <v>1795</v>
      </c>
      <c r="H23" s="115" t="s">
        <v>1796</v>
      </c>
      <c r="I23" s="115" t="s">
        <v>168</v>
      </c>
      <c r="J23" s="115" t="s">
        <v>51</v>
      </c>
      <c r="K23" s="115"/>
      <c r="L23" s="115" t="s">
        <v>1797</v>
      </c>
      <c r="M23" s="115"/>
      <c r="N23" s="128" t="s">
        <v>1798</v>
      </c>
      <c r="O23" s="1027">
        <f>1190*3</f>
        <v>3570</v>
      </c>
      <c r="P23" s="115"/>
      <c r="Q23" s="115" t="s">
        <v>1933</v>
      </c>
      <c r="R23" s="682">
        <v>3</v>
      </c>
      <c r="S23" s="361">
        <v>4</v>
      </c>
      <c r="T23" s="361">
        <v>0</v>
      </c>
      <c r="U23" s="598">
        <v>892.5</v>
      </c>
      <c r="V23" s="120">
        <v>42979</v>
      </c>
      <c r="W23" s="115"/>
      <c r="X23" s="115" t="s">
        <v>1154</v>
      </c>
      <c r="Y23" s="115"/>
      <c r="Z23" s="115"/>
    </row>
    <row r="24" spans="1:26" ht="12" customHeight="1" thickBot="1">
      <c r="A24" s="1639" t="s">
        <v>304</v>
      </c>
      <c r="B24" s="1663" t="s">
        <v>305</v>
      </c>
      <c r="C24" s="31">
        <v>38577</v>
      </c>
      <c r="D24" s="31">
        <v>38591</v>
      </c>
      <c r="E24" s="8" t="s">
        <v>306</v>
      </c>
      <c r="G24" s="132">
        <v>68542</v>
      </c>
      <c r="H24" s="8" t="s">
        <v>307</v>
      </c>
      <c r="I24" s="8" t="s">
        <v>18</v>
      </c>
      <c r="J24" s="8" t="s">
        <v>51</v>
      </c>
      <c r="K24" s="8" t="s">
        <v>308</v>
      </c>
      <c r="M24" s="8" t="s">
        <v>309</v>
      </c>
      <c r="N24" s="49" t="s">
        <v>310</v>
      </c>
      <c r="O24" s="1015">
        <v>1300</v>
      </c>
      <c r="Q24" s="8" t="s">
        <v>311</v>
      </c>
      <c r="R24" s="685">
        <v>2</v>
      </c>
      <c r="S24" s="132">
        <v>2</v>
      </c>
      <c r="T24" s="132">
        <v>1</v>
      </c>
      <c r="U24" s="8" t="s">
        <v>232</v>
      </c>
      <c r="W24" s="8" t="s">
        <v>313</v>
      </c>
    </row>
    <row r="25" spans="1:26" ht="12" customHeight="1">
      <c r="A25" s="1003" t="s">
        <v>3110</v>
      </c>
      <c r="B25" s="1003" t="s">
        <v>652</v>
      </c>
      <c r="C25" s="1004">
        <v>44849</v>
      </c>
      <c r="D25" s="1004">
        <v>44856</v>
      </c>
      <c r="E25" s="1003" t="s">
        <v>3111</v>
      </c>
      <c r="F25" s="1003"/>
      <c r="G25" s="1005" t="s">
        <v>3112</v>
      </c>
      <c r="H25" s="1003" t="s">
        <v>3113</v>
      </c>
      <c r="I25" s="1003" t="s">
        <v>18</v>
      </c>
      <c r="J25" s="1003" t="s">
        <v>51</v>
      </c>
      <c r="K25" s="1003" t="s">
        <v>3114</v>
      </c>
      <c r="L25" s="1007" t="s">
        <v>3115</v>
      </c>
      <c r="M25" s="1003"/>
      <c r="N25" s="1007" t="s">
        <v>3116</v>
      </c>
      <c r="O25" s="1192">
        <v>272.5</v>
      </c>
      <c r="P25" s="1003" t="s">
        <v>2674</v>
      </c>
      <c r="Q25" s="1003"/>
      <c r="R25" s="1193">
        <v>0</v>
      </c>
      <c r="S25" s="1005">
        <v>2</v>
      </c>
      <c r="T25" s="1005">
        <v>1</v>
      </c>
      <c r="U25" s="1009">
        <v>272.5</v>
      </c>
      <c r="V25" s="1010">
        <v>44565</v>
      </c>
      <c r="W25" s="1003" t="s">
        <v>1477</v>
      </c>
      <c r="X25" s="1003" t="s">
        <v>1154</v>
      </c>
      <c r="Y25" s="1003" t="s">
        <v>3322</v>
      </c>
      <c r="Z25" s="1003"/>
    </row>
    <row r="26" spans="1:26" ht="12" customHeight="1">
      <c r="A26" s="115" t="s">
        <v>1653</v>
      </c>
      <c r="B26" s="115" t="s">
        <v>264</v>
      </c>
      <c r="C26" s="116">
        <v>42826</v>
      </c>
      <c r="D26" s="116">
        <v>42833</v>
      </c>
      <c r="E26" s="115" t="s">
        <v>1654</v>
      </c>
      <c r="F26" s="115"/>
      <c r="G26" s="361" t="s">
        <v>1655</v>
      </c>
      <c r="H26" s="115" t="s">
        <v>937</v>
      </c>
      <c r="I26" s="115" t="s">
        <v>18</v>
      </c>
      <c r="J26" s="115" t="s">
        <v>51</v>
      </c>
      <c r="K26" s="115" t="s">
        <v>1656</v>
      </c>
      <c r="L26" s="115" t="s">
        <v>1657</v>
      </c>
      <c r="M26" s="115"/>
      <c r="N26" s="128" t="s">
        <v>1652</v>
      </c>
      <c r="O26" s="1027">
        <v>690</v>
      </c>
      <c r="P26" s="115"/>
      <c r="Q26" s="115"/>
      <c r="R26" s="682">
        <v>1</v>
      </c>
      <c r="S26" s="361">
        <v>2</v>
      </c>
      <c r="T26" s="361">
        <v>1</v>
      </c>
      <c r="U26" s="598">
        <v>177.25</v>
      </c>
      <c r="V26" s="120">
        <v>42712</v>
      </c>
      <c r="W26" s="115"/>
      <c r="X26" s="115"/>
      <c r="Y26" s="115"/>
      <c r="Z26" s="115"/>
    </row>
    <row r="27" spans="1:26" ht="12" customHeight="1">
      <c r="A27" s="355" t="s">
        <v>1653</v>
      </c>
      <c r="B27" s="355" t="s">
        <v>264</v>
      </c>
      <c r="C27" s="357">
        <v>43323</v>
      </c>
      <c r="D27" s="357">
        <v>43337</v>
      </c>
      <c r="E27" s="355" t="s">
        <v>1654</v>
      </c>
      <c r="F27" s="355"/>
      <c r="G27" s="358" t="s">
        <v>1655</v>
      </c>
      <c r="H27" s="355" t="s">
        <v>937</v>
      </c>
      <c r="I27" s="355" t="s">
        <v>18</v>
      </c>
      <c r="J27" s="355" t="s">
        <v>51</v>
      </c>
      <c r="K27" s="355" t="s">
        <v>1656</v>
      </c>
      <c r="L27" s="355" t="s">
        <v>1657</v>
      </c>
      <c r="M27" s="355"/>
      <c r="N27" s="365" t="s">
        <v>1652</v>
      </c>
      <c r="O27" s="1036">
        <f xml:space="preserve"> 1990+1790+70</f>
        <v>3850</v>
      </c>
      <c r="P27" s="355"/>
      <c r="Q27" s="355"/>
      <c r="R27" s="891">
        <v>2</v>
      </c>
      <c r="S27" s="358">
        <v>2</v>
      </c>
      <c r="T27" s="358">
        <v>1</v>
      </c>
      <c r="U27" s="478" t="s">
        <v>1832</v>
      </c>
      <c r="V27" s="360">
        <v>42712</v>
      </c>
      <c r="W27" s="355" t="s">
        <v>1519</v>
      </c>
      <c r="X27" s="355" t="s">
        <v>1154</v>
      </c>
      <c r="Y27" s="355"/>
      <c r="Z27" s="355"/>
    </row>
    <row r="28" spans="1:26" ht="12" customHeight="1">
      <c r="A28" s="1377" t="s">
        <v>3520</v>
      </c>
      <c r="B28" s="1090" t="s">
        <v>528</v>
      </c>
      <c r="C28" s="1091">
        <v>45129</v>
      </c>
      <c r="D28" s="1091">
        <v>45143</v>
      </c>
      <c r="E28" s="1090" t="s">
        <v>3382</v>
      </c>
      <c r="F28" s="1090"/>
      <c r="G28" s="1092" t="s">
        <v>3383</v>
      </c>
      <c r="H28" s="1090" t="s">
        <v>3384</v>
      </c>
      <c r="I28" s="1090"/>
      <c r="J28" s="1090" t="s">
        <v>51</v>
      </c>
      <c r="K28" s="1093"/>
      <c r="L28" s="1464" t="s">
        <v>3385</v>
      </c>
      <c r="M28" s="1090"/>
      <c r="N28" s="1465" t="s">
        <v>3386</v>
      </c>
      <c r="O28" s="1094">
        <f>2490*2+3*4*14+70</f>
        <v>5218</v>
      </c>
      <c r="P28" s="1090"/>
      <c r="Q28" s="1090" t="s">
        <v>3387</v>
      </c>
      <c r="R28" s="1095">
        <v>2</v>
      </c>
      <c r="S28" s="1092">
        <v>3</v>
      </c>
      <c r="T28" s="1092">
        <v>5</v>
      </c>
      <c r="U28" s="1377">
        <f>1245+3973</f>
        <v>5218</v>
      </c>
      <c r="V28" s="1603">
        <v>44923</v>
      </c>
      <c r="W28" s="1090" t="s">
        <v>1477</v>
      </c>
      <c r="X28" s="1090" t="s">
        <v>1154</v>
      </c>
      <c r="Y28" s="1090" t="s">
        <v>3399</v>
      </c>
      <c r="Z28" s="1090"/>
    </row>
    <row r="29" spans="1:26" s="778" customFormat="1" ht="12" customHeight="1" thickBot="1">
      <c r="A29" s="1651" t="s">
        <v>1973</v>
      </c>
      <c r="B29" s="1651" t="s">
        <v>1972</v>
      </c>
      <c r="C29" s="1673">
        <v>43673</v>
      </c>
      <c r="D29" s="1673">
        <v>43694</v>
      </c>
      <c r="E29" s="1651" t="s">
        <v>1975</v>
      </c>
      <c r="F29" s="1651"/>
      <c r="G29" s="1707" t="s">
        <v>1976</v>
      </c>
      <c r="H29" s="1651" t="s">
        <v>1977</v>
      </c>
      <c r="I29" s="1651" t="s">
        <v>168</v>
      </c>
      <c r="J29" s="1651" t="s">
        <v>1023</v>
      </c>
      <c r="K29" s="1651"/>
      <c r="L29" s="1651" t="s">
        <v>1978</v>
      </c>
      <c r="M29" s="1651"/>
      <c r="N29" s="995" t="s">
        <v>1974</v>
      </c>
      <c r="O29" s="1714">
        <f>1990*3+750+250</f>
        <v>6970</v>
      </c>
      <c r="P29" s="1651"/>
      <c r="Q29" s="1651" t="s">
        <v>2327</v>
      </c>
      <c r="R29" s="1718">
        <v>3</v>
      </c>
      <c r="S29" s="1707">
        <v>4</v>
      </c>
      <c r="T29" s="1707">
        <v>2</v>
      </c>
      <c r="U29" s="1744" t="s">
        <v>2027</v>
      </c>
      <c r="V29" s="1747"/>
      <c r="W29" s="1651"/>
      <c r="X29" s="1651"/>
      <c r="Y29" s="1651"/>
      <c r="Z29" s="1651"/>
    </row>
    <row r="30" spans="1:26" ht="12" customHeight="1">
      <c r="A30" s="21" t="s">
        <v>1046</v>
      </c>
      <c r="B30" s="21" t="s">
        <v>1047</v>
      </c>
      <c r="C30" s="30">
        <v>41356</v>
      </c>
      <c r="D30" s="30">
        <v>41370</v>
      </c>
      <c r="E30" s="21"/>
      <c r="F30" s="21"/>
      <c r="G30" s="764"/>
      <c r="H30" s="21"/>
      <c r="I30" s="21"/>
      <c r="J30" s="21" t="s">
        <v>51</v>
      </c>
      <c r="K30" s="21" t="s">
        <v>1048</v>
      </c>
      <c r="L30" s="21" t="s">
        <v>1049</v>
      </c>
      <c r="M30" s="21"/>
      <c r="N30" s="50" t="s">
        <v>1050</v>
      </c>
      <c r="O30" s="1013">
        <f>2*690+3*2*14</f>
        <v>1464</v>
      </c>
      <c r="P30" s="21"/>
      <c r="Q30" s="21" t="s">
        <v>1051</v>
      </c>
      <c r="R30" s="876">
        <v>2</v>
      </c>
      <c r="S30" s="764">
        <v>3</v>
      </c>
      <c r="T30" s="764">
        <v>2</v>
      </c>
      <c r="U30" s="1726">
        <v>345</v>
      </c>
      <c r="V30" s="78">
        <v>41280</v>
      </c>
      <c r="W30" s="21" t="s">
        <v>1052</v>
      </c>
      <c r="X30" s="21"/>
      <c r="Y30" s="21"/>
      <c r="Z30" s="21"/>
    </row>
    <row r="31" spans="1:26" ht="12" customHeight="1" thickBot="1">
      <c r="A31" s="26" t="s">
        <v>493</v>
      </c>
      <c r="B31" s="26" t="s">
        <v>494</v>
      </c>
      <c r="C31" s="32">
        <v>40012</v>
      </c>
      <c r="D31" s="32">
        <v>40026</v>
      </c>
      <c r="E31" s="26" t="s">
        <v>496</v>
      </c>
      <c r="F31" s="26"/>
      <c r="G31" s="781">
        <v>26831</v>
      </c>
      <c r="H31" s="26" t="s">
        <v>497</v>
      </c>
      <c r="I31" s="26" t="s">
        <v>18</v>
      </c>
      <c r="J31" s="26" t="s">
        <v>51</v>
      </c>
      <c r="K31" s="26" t="s">
        <v>498</v>
      </c>
      <c r="L31" s="26"/>
      <c r="M31" s="26"/>
      <c r="N31" s="55" t="s">
        <v>495</v>
      </c>
      <c r="O31" s="1018">
        <v>750</v>
      </c>
      <c r="P31" s="26"/>
      <c r="Q31" s="26" t="s">
        <v>499</v>
      </c>
      <c r="R31" s="879">
        <v>0</v>
      </c>
      <c r="S31" s="781">
        <v>8</v>
      </c>
      <c r="T31" s="781"/>
      <c r="U31" s="1357">
        <v>750</v>
      </c>
      <c r="V31" s="1600"/>
      <c r="W31" s="26"/>
      <c r="X31" s="26"/>
      <c r="Y31" s="26"/>
      <c r="Z31" s="26"/>
    </row>
    <row r="32" spans="1:26" s="21" customFormat="1" ht="12" customHeight="1">
      <c r="A32" s="1645" t="s">
        <v>1322</v>
      </c>
      <c r="B32" s="1668" t="s">
        <v>538</v>
      </c>
      <c r="C32" s="1678">
        <v>42182</v>
      </c>
      <c r="D32" s="1678">
        <v>42189</v>
      </c>
      <c r="E32" s="1668" t="s">
        <v>1323</v>
      </c>
      <c r="F32" s="1668"/>
      <c r="G32" s="1710" t="s">
        <v>1324</v>
      </c>
      <c r="H32" s="1668" t="s">
        <v>1325</v>
      </c>
      <c r="I32" s="1668" t="s">
        <v>18</v>
      </c>
      <c r="J32" s="1668" t="s">
        <v>51</v>
      </c>
      <c r="K32" s="1668" t="s">
        <v>1326</v>
      </c>
      <c r="L32" s="1668" t="s">
        <v>1327</v>
      </c>
      <c r="M32" s="1668"/>
      <c r="N32" s="1713" t="s">
        <v>1881</v>
      </c>
      <c r="O32" s="1717">
        <f>1390-1040</f>
        <v>350</v>
      </c>
      <c r="P32" s="1668"/>
      <c r="Q32" s="1668" t="s">
        <v>1192</v>
      </c>
      <c r="R32" s="1720">
        <v>1</v>
      </c>
      <c r="S32" s="1710" t="s">
        <v>199</v>
      </c>
      <c r="T32" s="1710">
        <v>2</v>
      </c>
      <c r="U32" s="1741">
        <v>350</v>
      </c>
      <c r="V32" s="94">
        <v>41947</v>
      </c>
      <c r="W32" s="67" t="s">
        <v>1329</v>
      </c>
      <c r="X32" s="67" t="s">
        <v>1154</v>
      </c>
      <c r="Y32" s="67"/>
      <c r="Z32" s="67"/>
    </row>
    <row r="33" spans="1:26" s="21" customFormat="1" ht="12" customHeight="1">
      <c r="A33" s="505" t="s">
        <v>1501</v>
      </c>
      <c r="B33" s="115" t="s">
        <v>1502</v>
      </c>
      <c r="C33" s="116">
        <v>42483</v>
      </c>
      <c r="D33" s="116">
        <v>42497</v>
      </c>
      <c r="E33" s="115" t="s">
        <v>1503</v>
      </c>
      <c r="F33" s="115"/>
      <c r="G33" s="361" t="s">
        <v>1504</v>
      </c>
      <c r="H33" s="115" t="s">
        <v>456</v>
      </c>
      <c r="I33" s="115" t="s">
        <v>168</v>
      </c>
      <c r="J33" s="115" t="s">
        <v>51</v>
      </c>
      <c r="K33" s="115"/>
      <c r="L33" s="115" t="s">
        <v>1505</v>
      </c>
      <c r="M33" s="115"/>
      <c r="N33" s="128" t="s">
        <v>1761</v>
      </c>
      <c r="O33" s="1027">
        <f>790*2+70+80</f>
        <v>1730</v>
      </c>
      <c r="P33" s="115"/>
      <c r="Q33" s="115" t="s">
        <v>1507</v>
      </c>
      <c r="R33" s="682">
        <v>2</v>
      </c>
      <c r="S33" s="361" t="s">
        <v>1507</v>
      </c>
      <c r="T33" s="361">
        <v>2</v>
      </c>
      <c r="U33" s="119">
        <v>1580</v>
      </c>
      <c r="V33" s="120">
        <v>42379</v>
      </c>
      <c r="W33" s="120" t="s">
        <v>1525</v>
      </c>
      <c r="X33" s="115" t="s">
        <v>1154</v>
      </c>
      <c r="Y33" s="115"/>
      <c r="Z33" s="115"/>
    </row>
    <row r="34" spans="1:26" s="21" customFormat="1" ht="12" customHeight="1">
      <c r="A34" s="505" t="s">
        <v>1997</v>
      </c>
      <c r="B34" s="115" t="s">
        <v>1998</v>
      </c>
      <c r="C34" s="116">
        <v>43484</v>
      </c>
      <c r="D34" s="116">
        <v>43498</v>
      </c>
      <c r="E34" s="115" t="s">
        <v>1999</v>
      </c>
      <c r="F34" s="115"/>
      <c r="G34" s="361" t="s">
        <v>2000</v>
      </c>
      <c r="H34" s="115" t="s">
        <v>2001</v>
      </c>
      <c r="I34" s="115" t="s">
        <v>2002</v>
      </c>
      <c r="J34" s="115" t="s">
        <v>51</v>
      </c>
      <c r="K34" s="115"/>
      <c r="L34" s="115" t="s">
        <v>2003</v>
      </c>
      <c r="M34" s="115"/>
      <c r="N34" s="128" t="s">
        <v>2004</v>
      </c>
      <c r="O34" s="1027">
        <f>690*2+3*3*14+70</f>
        <v>1576</v>
      </c>
      <c r="P34" s="115"/>
      <c r="Q34" s="115" t="s">
        <v>2005</v>
      </c>
      <c r="R34" s="682">
        <v>2</v>
      </c>
      <c r="S34" s="361">
        <v>2</v>
      </c>
      <c r="T34" s="361">
        <v>3</v>
      </c>
      <c r="U34" s="119"/>
      <c r="V34" s="120" t="s">
        <v>1769</v>
      </c>
      <c r="W34" s="115"/>
      <c r="X34" s="115"/>
      <c r="Y34" s="115"/>
      <c r="Z34" s="115"/>
    </row>
    <row r="35" spans="1:26" s="21" customFormat="1" ht="12" customHeight="1">
      <c r="A35" s="505" t="s">
        <v>2707</v>
      </c>
      <c r="B35" s="115" t="s">
        <v>2709</v>
      </c>
      <c r="C35" s="116">
        <v>44095</v>
      </c>
      <c r="D35" s="116">
        <v>44107</v>
      </c>
      <c r="E35" s="115" t="s">
        <v>2710</v>
      </c>
      <c r="F35" s="115"/>
      <c r="G35" s="361" t="s">
        <v>2711</v>
      </c>
      <c r="H35" s="115" t="s">
        <v>2712</v>
      </c>
      <c r="I35" s="364" t="s">
        <v>18</v>
      </c>
      <c r="J35" s="115" t="s">
        <v>51</v>
      </c>
      <c r="K35" s="115" t="s">
        <v>2714</v>
      </c>
      <c r="L35" s="115" t="s">
        <v>2713</v>
      </c>
      <c r="M35" s="115"/>
      <c r="N35" s="128" t="s">
        <v>2708</v>
      </c>
      <c r="O35" s="1027">
        <v>2580</v>
      </c>
      <c r="P35" s="115"/>
      <c r="Q35" s="115" t="s">
        <v>2715</v>
      </c>
      <c r="R35" s="682">
        <v>2</v>
      </c>
      <c r="S35" s="361">
        <v>6</v>
      </c>
      <c r="T35" s="361">
        <v>6</v>
      </c>
      <c r="U35" s="119">
        <v>0</v>
      </c>
      <c r="V35" s="120">
        <v>44092</v>
      </c>
      <c r="W35" s="115" t="s">
        <v>1477</v>
      </c>
      <c r="X35" s="115" t="s">
        <v>1154</v>
      </c>
      <c r="Y35" s="115"/>
      <c r="Z35" s="115"/>
    </row>
    <row r="36" spans="1:26" s="21" customFormat="1" ht="12" customHeight="1">
      <c r="A36" s="20" t="s">
        <v>581</v>
      </c>
      <c r="B36" s="21" t="s">
        <v>582</v>
      </c>
      <c r="C36" s="30">
        <v>40404</v>
      </c>
      <c r="D36" s="30">
        <v>40418</v>
      </c>
      <c r="G36" s="764"/>
      <c r="I36" s="21" t="s">
        <v>18</v>
      </c>
      <c r="J36" s="21" t="s">
        <v>51</v>
      </c>
      <c r="K36" s="21" t="s">
        <v>583</v>
      </c>
      <c r="N36" s="50" t="s">
        <v>620</v>
      </c>
      <c r="O36" s="1013">
        <v>3044</v>
      </c>
      <c r="Q36" s="21" t="s">
        <v>584</v>
      </c>
      <c r="R36" s="876">
        <v>2</v>
      </c>
      <c r="S36" s="764">
        <v>4</v>
      </c>
      <c r="T36" s="764">
        <v>2</v>
      </c>
      <c r="U36" s="46">
        <f>O36/4</f>
        <v>761</v>
      </c>
      <c r="V36" s="78"/>
    </row>
    <row r="37" spans="1:26" s="26" customFormat="1" ht="12" customHeight="1">
      <c r="A37" s="698" t="s">
        <v>2416</v>
      </c>
      <c r="B37" s="689" t="s">
        <v>2417</v>
      </c>
      <c r="C37" s="690">
        <v>44065</v>
      </c>
      <c r="D37" s="690">
        <v>44086</v>
      </c>
      <c r="E37" s="689" t="s">
        <v>2418</v>
      </c>
      <c r="F37" s="689"/>
      <c r="G37" s="691" t="s">
        <v>2419</v>
      </c>
      <c r="H37" s="692" t="s">
        <v>2420</v>
      </c>
      <c r="I37" s="689" t="s">
        <v>168</v>
      </c>
      <c r="J37" s="689" t="s">
        <v>1023</v>
      </c>
      <c r="K37" s="689" t="s">
        <v>2421</v>
      </c>
      <c r="L37" s="693" t="s">
        <v>2422</v>
      </c>
      <c r="M37" s="689"/>
      <c r="N37" s="874" t="s">
        <v>2423</v>
      </c>
      <c r="O37" s="1041">
        <f>U37/2</f>
        <v>696.5</v>
      </c>
      <c r="P37" s="689"/>
      <c r="Q37" s="689" t="s">
        <v>2626</v>
      </c>
      <c r="R37" s="696">
        <v>0</v>
      </c>
      <c r="S37" s="691">
        <v>2</v>
      </c>
      <c r="T37" s="691">
        <v>1</v>
      </c>
      <c r="U37" s="753">
        <v>1393</v>
      </c>
      <c r="V37" s="695">
        <v>43810</v>
      </c>
      <c r="W37" s="689" t="s">
        <v>1769</v>
      </c>
      <c r="X37" s="689" t="s">
        <v>1154</v>
      </c>
      <c r="Y37" s="689"/>
      <c r="Z37" s="689"/>
    </row>
    <row r="38" spans="1:26" s="21" customFormat="1" ht="12" customHeight="1">
      <c r="A38" s="1482" t="s">
        <v>2416</v>
      </c>
      <c r="B38" s="820" t="s">
        <v>2417</v>
      </c>
      <c r="C38" s="821">
        <v>45199</v>
      </c>
      <c r="D38" s="821">
        <v>45220</v>
      </c>
      <c r="E38" s="820" t="s">
        <v>2418</v>
      </c>
      <c r="F38" s="820"/>
      <c r="G38" s="822" t="s">
        <v>2419</v>
      </c>
      <c r="H38" s="1520" t="s">
        <v>2420</v>
      </c>
      <c r="I38" s="820" t="s">
        <v>168</v>
      </c>
      <c r="J38" s="820" t="s">
        <v>1023</v>
      </c>
      <c r="K38" s="820" t="s">
        <v>2421</v>
      </c>
      <c r="L38" s="1483" t="s">
        <v>2422</v>
      </c>
      <c r="M38" s="820"/>
      <c r="N38" s="1458" t="s">
        <v>2423</v>
      </c>
      <c r="O38" s="1026">
        <f>1290*3+70</f>
        <v>3940</v>
      </c>
      <c r="P38" s="820"/>
      <c r="Q38" s="820"/>
      <c r="R38" s="885">
        <v>3</v>
      </c>
      <c r="S38" s="822">
        <v>2</v>
      </c>
      <c r="T38" s="822">
        <v>1</v>
      </c>
      <c r="U38" s="824">
        <v>967.5</v>
      </c>
      <c r="V38" s="825">
        <v>44844</v>
      </c>
      <c r="W38" s="820" t="s">
        <v>3337</v>
      </c>
      <c r="X38" s="820" t="s">
        <v>1154</v>
      </c>
      <c r="Y38" s="820" t="s">
        <v>3350</v>
      </c>
      <c r="Z38" s="820"/>
    </row>
    <row r="39" spans="1:26" s="21" customFormat="1" ht="12" customHeight="1">
      <c r="A39" s="1482" t="s">
        <v>3213</v>
      </c>
      <c r="B39" s="820" t="s">
        <v>652</v>
      </c>
      <c r="C39" s="821">
        <v>45150</v>
      </c>
      <c r="D39" s="821">
        <v>45164</v>
      </c>
      <c r="E39" s="820" t="s">
        <v>3214</v>
      </c>
      <c r="F39" s="820"/>
      <c r="G39" s="822" t="s">
        <v>3215</v>
      </c>
      <c r="H39" s="820" t="s">
        <v>3216</v>
      </c>
      <c r="I39" s="820" t="s">
        <v>1775</v>
      </c>
      <c r="J39" s="820" t="s">
        <v>51</v>
      </c>
      <c r="K39" s="1483"/>
      <c r="L39" s="820" t="s">
        <v>3217</v>
      </c>
      <c r="M39" s="820"/>
      <c r="N39" s="1458" t="s">
        <v>3218</v>
      </c>
      <c r="O39" s="1484">
        <f>2490*2</f>
        <v>4980</v>
      </c>
      <c r="P39" s="820" t="s">
        <v>2674</v>
      </c>
      <c r="Q39" s="820"/>
      <c r="R39" s="885">
        <v>2</v>
      </c>
      <c r="S39" s="822">
        <v>2</v>
      </c>
      <c r="T39" s="822">
        <v>1</v>
      </c>
      <c r="U39" s="1485">
        <v>1245</v>
      </c>
      <c r="V39" s="825">
        <v>44686</v>
      </c>
      <c r="W39" s="820" t="s">
        <v>3219</v>
      </c>
      <c r="X39" s="820" t="s">
        <v>1154</v>
      </c>
      <c r="Y39" s="820" t="s">
        <v>3281</v>
      </c>
      <c r="Z39" s="820"/>
    </row>
    <row r="40" spans="1:26" s="21" customFormat="1" ht="12" customHeight="1">
      <c r="A40" s="505" t="s">
        <v>1478</v>
      </c>
      <c r="B40" s="115" t="s">
        <v>528</v>
      </c>
      <c r="C40" s="116">
        <v>42497</v>
      </c>
      <c r="D40" s="116">
        <v>42510</v>
      </c>
      <c r="E40" s="115" t="s">
        <v>1479</v>
      </c>
      <c r="F40" s="115"/>
      <c r="G40" s="361" t="s">
        <v>1480</v>
      </c>
      <c r="H40" s="115" t="s">
        <v>1481</v>
      </c>
      <c r="I40" s="115" t="s">
        <v>168</v>
      </c>
      <c r="J40" s="115" t="s">
        <v>51</v>
      </c>
      <c r="K40" s="115" t="s">
        <v>1482</v>
      </c>
      <c r="L40" s="115" t="s">
        <v>1483</v>
      </c>
      <c r="M40" s="115"/>
      <c r="N40" s="128" t="s">
        <v>352</v>
      </c>
      <c r="O40" s="1027">
        <f>790+890+70+42</f>
        <v>1792</v>
      </c>
      <c r="P40" s="115"/>
      <c r="Q40" s="115"/>
      <c r="R40" s="682">
        <v>2</v>
      </c>
      <c r="S40" s="361" t="s">
        <v>1025</v>
      </c>
      <c r="T40" s="361">
        <v>1</v>
      </c>
      <c r="U40" s="119">
        <v>420</v>
      </c>
      <c r="V40" s="120"/>
      <c r="W40" s="115"/>
      <c r="X40" s="115"/>
      <c r="Y40" s="115"/>
      <c r="Z40" s="115"/>
    </row>
    <row r="41" spans="1:26" s="21" customFormat="1" ht="12" customHeight="1">
      <c r="A41" s="505" t="s">
        <v>1861</v>
      </c>
      <c r="B41" s="115" t="s">
        <v>1860</v>
      </c>
      <c r="C41" s="116">
        <v>43246</v>
      </c>
      <c r="D41" s="116">
        <v>43253</v>
      </c>
      <c r="E41" s="115" t="s">
        <v>1859</v>
      </c>
      <c r="F41" s="115"/>
      <c r="G41" s="361" t="s">
        <v>1863</v>
      </c>
      <c r="H41" s="364" t="s">
        <v>1862</v>
      </c>
      <c r="I41" s="115" t="s">
        <v>18</v>
      </c>
      <c r="J41" s="115" t="s">
        <v>51</v>
      </c>
      <c r="K41" s="115" t="s">
        <v>1864</v>
      </c>
      <c r="L41" s="124"/>
      <c r="M41" s="115"/>
      <c r="N41" s="128" t="s">
        <v>1865</v>
      </c>
      <c r="O41" s="1027">
        <f>1090+70+21</f>
        <v>1181</v>
      </c>
      <c r="P41" s="115"/>
      <c r="Q41" s="115" t="s">
        <v>1922</v>
      </c>
      <c r="R41" s="682">
        <v>1</v>
      </c>
      <c r="S41" s="361" t="s">
        <v>1401</v>
      </c>
      <c r="T41" s="361">
        <v>3</v>
      </c>
      <c r="U41" s="119">
        <v>272.5</v>
      </c>
      <c r="V41" s="120"/>
      <c r="W41" s="115" t="s">
        <v>1769</v>
      </c>
      <c r="X41" s="115" t="s">
        <v>1154</v>
      </c>
      <c r="Y41" s="115"/>
      <c r="Z41" s="115"/>
    </row>
    <row r="42" spans="1:26" s="21" customFormat="1" ht="12" customHeight="1">
      <c r="A42" s="505" t="s">
        <v>1706</v>
      </c>
      <c r="B42" s="115" t="s">
        <v>1707</v>
      </c>
      <c r="C42" s="116">
        <v>42952</v>
      </c>
      <c r="D42" s="116">
        <v>42966</v>
      </c>
      <c r="E42" s="115" t="s">
        <v>1708</v>
      </c>
      <c r="F42" s="115"/>
      <c r="G42" s="361" t="s">
        <v>1709</v>
      </c>
      <c r="H42" s="115" t="s">
        <v>187</v>
      </c>
      <c r="I42" s="115" t="s">
        <v>18</v>
      </c>
      <c r="J42" s="115" t="s">
        <v>51</v>
      </c>
      <c r="K42" s="115" t="s">
        <v>1710</v>
      </c>
      <c r="L42" s="115" t="s">
        <v>1711</v>
      </c>
      <c r="M42" s="115"/>
      <c r="N42" s="128" t="s">
        <v>1712</v>
      </c>
      <c r="O42" s="1027">
        <f>1990*2</f>
        <v>3980</v>
      </c>
      <c r="P42" s="115"/>
      <c r="Q42" s="115" t="s">
        <v>1713</v>
      </c>
      <c r="R42" s="682">
        <v>2</v>
      </c>
      <c r="S42" s="361">
        <v>5</v>
      </c>
      <c r="T42" s="361">
        <v>1</v>
      </c>
      <c r="U42" s="119">
        <f>1990/2</f>
        <v>995</v>
      </c>
      <c r="V42" s="120">
        <v>42799</v>
      </c>
      <c r="W42" s="115" t="s">
        <v>1651</v>
      </c>
      <c r="X42" s="115" t="s">
        <v>1154</v>
      </c>
      <c r="Y42" s="115"/>
      <c r="Z42" s="115"/>
    </row>
    <row r="43" spans="1:26" s="21" customFormat="1" ht="12" customHeight="1">
      <c r="A43" s="20" t="s">
        <v>867</v>
      </c>
      <c r="B43" s="21" t="s">
        <v>431</v>
      </c>
      <c r="C43" s="30">
        <v>41083</v>
      </c>
      <c r="D43" s="30">
        <v>41097</v>
      </c>
      <c r="G43" s="764"/>
      <c r="H43" s="21" t="s">
        <v>868</v>
      </c>
      <c r="I43" s="21" t="s">
        <v>18</v>
      </c>
      <c r="J43" s="21" t="s">
        <v>51</v>
      </c>
      <c r="L43" s="21" t="s">
        <v>945</v>
      </c>
      <c r="N43" s="50" t="s">
        <v>866</v>
      </c>
      <c r="O43" s="1013">
        <f>2240</f>
        <v>2240</v>
      </c>
      <c r="Q43" s="21" t="s">
        <v>791</v>
      </c>
      <c r="R43" s="876">
        <v>2</v>
      </c>
      <c r="S43" s="764">
        <v>4</v>
      </c>
      <c r="T43" s="764"/>
      <c r="U43" s="75">
        <f>560</f>
        <v>560</v>
      </c>
      <c r="V43" s="78"/>
      <c r="W43" s="21" t="s">
        <v>791</v>
      </c>
      <c r="X43" s="21" t="s">
        <v>870</v>
      </c>
    </row>
    <row r="44" spans="1:26" s="21" customFormat="1" ht="12" customHeight="1">
      <c r="A44" s="1649" t="s">
        <v>1621</v>
      </c>
      <c r="B44" s="832" t="s">
        <v>730</v>
      </c>
      <c r="C44" s="833">
        <v>42644</v>
      </c>
      <c r="D44" s="833">
        <v>42651</v>
      </c>
      <c r="E44" s="832"/>
      <c r="F44" s="832"/>
      <c r="G44" s="834"/>
      <c r="H44" s="832"/>
      <c r="I44" s="832" t="s">
        <v>18</v>
      </c>
      <c r="J44" s="832" t="s">
        <v>51</v>
      </c>
      <c r="K44" s="832"/>
      <c r="L44" s="849" t="s">
        <v>1622</v>
      </c>
      <c r="M44" s="832"/>
      <c r="N44" s="128"/>
      <c r="O44" s="1028">
        <f>1120-168</f>
        <v>952</v>
      </c>
      <c r="P44" s="832"/>
      <c r="Q44" s="832"/>
      <c r="R44" s="886">
        <v>1</v>
      </c>
      <c r="S44" s="834" t="s">
        <v>1517</v>
      </c>
      <c r="T44" s="834">
        <v>0</v>
      </c>
      <c r="U44" s="836"/>
      <c r="V44" s="837"/>
      <c r="W44" s="832" t="s">
        <v>1592</v>
      </c>
      <c r="X44" s="832"/>
      <c r="Y44" s="832"/>
      <c r="Z44" s="832"/>
    </row>
    <row r="45" spans="1:26" s="21" customFormat="1" ht="12" customHeight="1">
      <c r="A45" s="20" t="s">
        <v>1237</v>
      </c>
      <c r="B45" s="21" t="s">
        <v>693</v>
      </c>
      <c r="C45" s="30">
        <v>41811</v>
      </c>
      <c r="D45" s="30">
        <v>41818</v>
      </c>
      <c r="E45" s="21" t="s">
        <v>1238</v>
      </c>
      <c r="G45" s="764" t="s">
        <v>1239</v>
      </c>
      <c r="H45" s="21" t="s">
        <v>1240</v>
      </c>
      <c r="I45" s="21" t="s">
        <v>18</v>
      </c>
      <c r="J45" s="21" t="s">
        <v>51</v>
      </c>
      <c r="K45" s="21" t="s">
        <v>1241</v>
      </c>
      <c r="L45" s="21" t="s">
        <v>1242</v>
      </c>
      <c r="N45" s="50" t="s">
        <v>1243</v>
      </c>
      <c r="O45" s="1013">
        <f>1290+70+21</f>
        <v>1381</v>
      </c>
      <c r="Q45" s="21" t="s">
        <v>1244</v>
      </c>
      <c r="R45" s="876">
        <v>1</v>
      </c>
      <c r="S45" s="764" t="s">
        <v>1244</v>
      </c>
      <c r="T45" s="764">
        <v>1</v>
      </c>
      <c r="U45" s="75">
        <f>1290/4</f>
        <v>322.5</v>
      </c>
      <c r="V45" s="78">
        <v>41664</v>
      </c>
      <c r="W45" s="21" t="s">
        <v>791</v>
      </c>
      <c r="X45" s="21" t="s">
        <v>1154</v>
      </c>
    </row>
    <row r="46" spans="1:26" s="21" customFormat="1" ht="12" customHeight="1">
      <c r="A46" s="505" t="s">
        <v>1669</v>
      </c>
      <c r="B46" s="115" t="s">
        <v>1670</v>
      </c>
      <c r="C46" s="116">
        <v>42938</v>
      </c>
      <c r="D46" s="116">
        <v>42945</v>
      </c>
      <c r="E46" s="115" t="s">
        <v>1671</v>
      </c>
      <c r="F46" s="115"/>
      <c r="G46" s="361" t="s">
        <v>1672</v>
      </c>
      <c r="H46" s="115" t="s">
        <v>1673</v>
      </c>
      <c r="I46" s="115" t="s">
        <v>1674</v>
      </c>
      <c r="J46" s="115" t="s">
        <v>1023</v>
      </c>
      <c r="K46" s="115" t="s">
        <v>1675</v>
      </c>
      <c r="L46" s="115"/>
      <c r="M46" s="115"/>
      <c r="N46" s="128" t="s">
        <v>1676</v>
      </c>
      <c r="O46" s="1027">
        <v>1990</v>
      </c>
      <c r="P46" s="115"/>
      <c r="Q46" s="115" t="s">
        <v>1677</v>
      </c>
      <c r="R46" s="682">
        <v>1</v>
      </c>
      <c r="S46" s="361">
        <v>3</v>
      </c>
      <c r="T46" s="361">
        <v>1</v>
      </c>
      <c r="U46" s="119">
        <v>500</v>
      </c>
      <c r="V46" s="120">
        <v>42761</v>
      </c>
      <c r="W46" s="115" t="s">
        <v>1678</v>
      </c>
      <c r="X46" s="115" t="s">
        <v>1154</v>
      </c>
      <c r="Y46" s="115"/>
      <c r="Z46" s="115"/>
    </row>
    <row r="47" spans="1:26" s="21" customFormat="1" ht="12" customHeight="1">
      <c r="A47" s="505" t="s">
        <v>1669</v>
      </c>
      <c r="B47" s="115" t="s">
        <v>2201</v>
      </c>
      <c r="C47" s="116">
        <v>43617</v>
      </c>
      <c r="D47" s="116">
        <v>43624</v>
      </c>
      <c r="E47" s="115" t="s">
        <v>2202</v>
      </c>
      <c r="F47" s="115"/>
      <c r="G47" s="361" t="s">
        <v>2203</v>
      </c>
      <c r="H47" s="115" t="s">
        <v>2204</v>
      </c>
      <c r="I47" s="115" t="s">
        <v>18</v>
      </c>
      <c r="J47" s="115" t="s">
        <v>1023</v>
      </c>
      <c r="K47" s="115"/>
      <c r="L47" s="115" t="s">
        <v>2205</v>
      </c>
      <c r="M47" s="115"/>
      <c r="N47" s="363"/>
      <c r="O47" s="1027">
        <v>1090</v>
      </c>
      <c r="P47" s="115"/>
      <c r="Q47" s="115" t="s">
        <v>600</v>
      </c>
      <c r="R47" s="682">
        <v>1</v>
      </c>
      <c r="S47" s="361">
        <v>3</v>
      </c>
      <c r="T47" s="361">
        <v>1</v>
      </c>
      <c r="U47" s="119"/>
      <c r="V47" s="120">
        <v>43486</v>
      </c>
      <c r="W47" s="120" t="s">
        <v>2206</v>
      </c>
      <c r="X47" s="115" t="s">
        <v>1154</v>
      </c>
      <c r="Y47" s="115"/>
      <c r="Z47" s="115"/>
    </row>
    <row r="48" spans="1:26" s="21" customFormat="1" ht="12" customHeight="1">
      <c r="A48" s="505" t="s">
        <v>2215</v>
      </c>
      <c r="B48" s="115" t="s">
        <v>2216</v>
      </c>
      <c r="C48" s="116">
        <v>43743</v>
      </c>
      <c r="D48" s="116">
        <v>43750</v>
      </c>
      <c r="E48" s="115" t="s">
        <v>2217</v>
      </c>
      <c r="F48" s="115"/>
      <c r="G48" s="361" t="s">
        <v>2218</v>
      </c>
      <c r="H48" s="115" t="s">
        <v>2219</v>
      </c>
      <c r="I48" s="115" t="s">
        <v>18</v>
      </c>
      <c r="J48" s="115" t="s">
        <v>51</v>
      </c>
      <c r="K48" s="115"/>
      <c r="L48" s="115" t="s">
        <v>2220</v>
      </c>
      <c r="M48" s="115"/>
      <c r="N48" s="128" t="s">
        <v>2221</v>
      </c>
      <c r="O48" s="1027">
        <v>890</v>
      </c>
      <c r="P48" s="115"/>
      <c r="Q48" s="115" t="s">
        <v>2222</v>
      </c>
      <c r="R48" s="682">
        <v>1</v>
      </c>
      <c r="S48" s="361">
        <v>6</v>
      </c>
      <c r="T48" s="361">
        <v>2</v>
      </c>
      <c r="U48" s="119"/>
      <c r="V48" s="120"/>
      <c r="W48" s="115"/>
      <c r="X48" s="115"/>
      <c r="Y48" s="115"/>
      <c r="Z48" s="115"/>
    </row>
    <row r="49" spans="1:26" ht="12" customHeight="1" thickBot="1">
      <c r="A49" s="1641" t="s">
        <v>1923</v>
      </c>
      <c r="B49" s="408" t="s">
        <v>1924</v>
      </c>
      <c r="C49" s="409">
        <v>43387</v>
      </c>
      <c r="D49" s="409">
        <v>43400</v>
      </c>
      <c r="E49" s="408" t="s">
        <v>1925</v>
      </c>
      <c r="F49" s="408"/>
      <c r="G49" s="410" t="s">
        <v>1926</v>
      </c>
      <c r="H49" s="411" t="s">
        <v>1927</v>
      </c>
      <c r="I49" s="408" t="s">
        <v>18</v>
      </c>
      <c r="J49" s="408" t="s">
        <v>51</v>
      </c>
      <c r="K49" s="408" t="s">
        <v>1928</v>
      </c>
      <c r="L49" s="412" t="s">
        <v>1929</v>
      </c>
      <c r="M49" s="408"/>
      <c r="N49" s="850" t="s">
        <v>1930</v>
      </c>
      <c r="O49" s="1031">
        <v>1380</v>
      </c>
      <c r="P49" s="408"/>
      <c r="Q49" s="408" t="s">
        <v>1931</v>
      </c>
      <c r="R49" s="889">
        <v>2</v>
      </c>
      <c r="S49" s="410">
        <v>3</v>
      </c>
      <c r="T49" s="410">
        <v>3</v>
      </c>
      <c r="U49" s="596" t="s">
        <v>1932</v>
      </c>
      <c r="V49" s="416">
        <v>43262</v>
      </c>
      <c r="W49" s="408" t="s">
        <v>1477</v>
      </c>
      <c r="X49" s="408" t="s">
        <v>1154</v>
      </c>
      <c r="Y49" s="408" t="s">
        <v>1980</v>
      </c>
      <c r="Z49" s="408"/>
    </row>
    <row r="50" spans="1:26" ht="12" customHeight="1" thickBot="1">
      <c r="A50" s="517" t="s">
        <v>3802</v>
      </c>
      <c r="B50" s="539" t="s">
        <v>627</v>
      </c>
      <c r="C50" s="116">
        <v>45647</v>
      </c>
      <c r="D50" s="651">
        <v>45661</v>
      </c>
      <c r="E50" s="539" t="s">
        <v>3803</v>
      </c>
      <c r="F50" s="115"/>
      <c r="G50" s="361" t="s">
        <v>3804</v>
      </c>
      <c r="H50" s="115" t="s">
        <v>3805</v>
      </c>
      <c r="I50" s="115" t="s">
        <v>18</v>
      </c>
      <c r="J50" s="115" t="s">
        <v>51</v>
      </c>
      <c r="K50" s="124" t="s">
        <v>3806</v>
      </c>
      <c r="L50" s="115" t="s">
        <v>3807</v>
      </c>
      <c r="M50" s="115"/>
      <c r="N50" s="121" t="s">
        <v>3808</v>
      </c>
      <c r="O50" s="1044">
        <v>2780</v>
      </c>
      <c r="P50" s="115"/>
      <c r="Q50" s="115" t="s">
        <v>1300</v>
      </c>
      <c r="R50" s="682">
        <v>2</v>
      </c>
      <c r="S50" s="361">
        <v>2</v>
      </c>
      <c r="T50" s="361">
        <v>3</v>
      </c>
      <c r="U50" s="1126" t="s">
        <v>3842</v>
      </c>
      <c r="V50" s="120">
        <v>45298</v>
      </c>
      <c r="W50" s="115" t="s">
        <v>1519</v>
      </c>
      <c r="X50" s="115" t="s">
        <v>1154</v>
      </c>
      <c r="Y50" s="115" t="s">
        <v>3843</v>
      </c>
      <c r="Z50" s="115"/>
    </row>
    <row r="51" spans="1:26" ht="12" customHeight="1" thickBot="1">
      <c r="A51" s="1259" t="s">
        <v>2991</v>
      </c>
      <c r="B51" s="1284" t="s">
        <v>2992</v>
      </c>
      <c r="C51" s="1676">
        <v>44737</v>
      </c>
      <c r="D51" s="1315">
        <v>44751</v>
      </c>
      <c r="E51" s="1703" t="s">
        <v>2993</v>
      </c>
      <c r="F51" s="1136"/>
      <c r="G51" s="1139" t="s">
        <v>2995</v>
      </c>
      <c r="H51" s="1138" t="s">
        <v>2994</v>
      </c>
      <c r="I51" s="1136" t="s">
        <v>18</v>
      </c>
      <c r="J51" s="1136" t="s">
        <v>51</v>
      </c>
      <c r="K51" s="1136"/>
      <c r="L51" s="1138" t="s">
        <v>2996</v>
      </c>
      <c r="M51" s="1136"/>
      <c r="N51" s="1140" t="s">
        <v>2997</v>
      </c>
      <c r="O51" s="1141">
        <f>1990*2</f>
        <v>3980</v>
      </c>
      <c r="P51" s="1136"/>
      <c r="Q51" s="1136" t="s">
        <v>1899</v>
      </c>
      <c r="R51" s="1142">
        <v>2</v>
      </c>
      <c r="S51" s="1139">
        <v>4</v>
      </c>
      <c r="T51" s="1139">
        <v>3</v>
      </c>
      <c r="U51" s="1143" t="s">
        <v>3005</v>
      </c>
      <c r="V51" s="1199">
        <v>44403</v>
      </c>
      <c r="W51" s="1136"/>
      <c r="X51" s="1136"/>
      <c r="Y51" s="1136"/>
      <c r="Z51" s="1136"/>
    </row>
    <row r="52" spans="1:26" ht="12" customHeight="1" thickBot="1">
      <c r="A52" s="20" t="s">
        <v>931</v>
      </c>
      <c r="B52" s="21" t="s">
        <v>932</v>
      </c>
      <c r="C52" s="30">
        <v>41181</v>
      </c>
      <c r="D52" s="1310">
        <v>41188</v>
      </c>
      <c r="E52" s="1699"/>
      <c r="F52" s="21"/>
      <c r="G52" s="764"/>
      <c r="H52" s="90" t="s">
        <v>995</v>
      </c>
      <c r="I52" s="21" t="s">
        <v>18</v>
      </c>
      <c r="J52" s="21" t="s">
        <v>51</v>
      </c>
      <c r="K52" s="21"/>
      <c r="L52" s="21" t="s">
        <v>994</v>
      </c>
      <c r="M52" s="21"/>
      <c r="N52" s="50" t="s">
        <v>930</v>
      </c>
      <c r="O52" s="1013">
        <f>890+70+21+70</f>
        <v>1051</v>
      </c>
      <c r="P52" s="21"/>
      <c r="Q52" s="21">
        <v>2</v>
      </c>
      <c r="R52" s="876">
        <v>1</v>
      </c>
      <c r="S52" s="764">
        <v>2</v>
      </c>
      <c r="T52" s="764">
        <v>1</v>
      </c>
      <c r="U52" s="77">
        <v>225</v>
      </c>
      <c r="V52" s="78">
        <v>41034</v>
      </c>
      <c r="W52" s="21" t="s">
        <v>933</v>
      </c>
      <c r="X52" s="21"/>
      <c r="Y52" s="21"/>
      <c r="Z52" s="21"/>
    </row>
    <row r="53" spans="1:26" ht="12" customHeight="1" thickBot="1">
      <c r="A53" s="1256" t="s">
        <v>548</v>
      </c>
      <c r="B53" s="1282" t="s">
        <v>549</v>
      </c>
      <c r="C53" s="30">
        <v>40012</v>
      </c>
      <c r="D53" s="1310">
        <v>40026</v>
      </c>
      <c r="E53" s="1331" t="s">
        <v>550</v>
      </c>
      <c r="F53" s="21"/>
      <c r="G53" s="764">
        <v>60431</v>
      </c>
      <c r="H53" s="21" t="s">
        <v>551</v>
      </c>
      <c r="I53" s="21" t="s">
        <v>18</v>
      </c>
      <c r="J53" s="21" t="s">
        <v>51</v>
      </c>
      <c r="K53" s="21" t="s">
        <v>552</v>
      </c>
      <c r="L53" s="21" t="s">
        <v>553</v>
      </c>
      <c r="M53" s="21"/>
      <c r="N53" s="50" t="s">
        <v>554</v>
      </c>
      <c r="O53" s="1013">
        <v>2645</v>
      </c>
      <c r="P53" s="21"/>
      <c r="Q53" s="21" t="s">
        <v>534</v>
      </c>
      <c r="R53" s="876">
        <v>2</v>
      </c>
      <c r="S53" s="764">
        <v>5</v>
      </c>
      <c r="T53" s="764"/>
      <c r="U53" s="43">
        <v>645</v>
      </c>
      <c r="V53" s="78"/>
      <c r="W53" s="21"/>
      <c r="X53" s="21"/>
      <c r="Y53" s="21"/>
      <c r="Z53" s="21"/>
    </row>
    <row r="54" spans="1:26" ht="12" customHeight="1">
      <c r="A54" s="20" t="s">
        <v>934</v>
      </c>
      <c r="B54" s="21" t="s">
        <v>935</v>
      </c>
      <c r="C54" s="30">
        <v>41118</v>
      </c>
      <c r="D54" s="1310">
        <v>41139</v>
      </c>
      <c r="E54" s="1331" t="s">
        <v>936</v>
      </c>
      <c r="F54" s="21"/>
      <c r="G54" s="764">
        <v>45359</v>
      </c>
      <c r="H54" s="21" t="s">
        <v>937</v>
      </c>
      <c r="I54" s="21" t="s">
        <v>18</v>
      </c>
      <c r="J54" s="21" t="s">
        <v>51</v>
      </c>
      <c r="K54" s="21" t="s">
        <v>938</v>
      </c>
      <c r="L54" s="21" t="s">
        <v>939</v>
      </c>
      <c r="M54" s="21"/>
      <c r="N54" s="50" t="s">
        <v>940</v>
      </c>
      <c r="O54" s="1013">
        <v>5670</v>
      </c>
      <c r="P54" s="21"/>
      <c r="Q54" s="21" t="s">
        <v>941</v>
      </c>
      <c r="R54" s="876">
        <v>3</v>
      </c>
      <c r="S54" s="764">
        <v>4</v>
      </c>
      <c r="T54" s="764">
        <v>1</v>
      </c>
      <c r="U54" s="77">
        <v>1417.5</v>
      </c>
      <c r="V54" s="78">
        <v>41060</v>
      </c>
      <c r="W54" s="21"/>
      <c r="X54" s="21"/>
      <c r="Y54" s="21"/>
      <c r="Z54" s="21"/>
    </row>
    <row r="55" spans="1:26" ht="12" customHeight="1" thickBot="1">
      <c r="A55" s="698" t="s">
        <v>2304</v>
      </c>
      <c r="B55" s="689" t="s">
        <v>1772</v>
      </c>
      <c r="C55" s="690">
        <v>43954</v>
      </c>
      <c r="D55" s="1682">
        <v>43968</v>
      </c>
      <c r="E55" s="1287" t="s">
        <v>2305</v>
      </c>
      <c r="F55" s="689"/>
      <c r="G55" s="691" t="s">
        <v>2306</v>
      </c>
      <c r="H55" s="689" t="s">
        <v>2307</v>
      </c>
      <c r="I55" s="689" t="s">
        <v>18</v>
      </c>
      <c r="J55" s="689" t="s">
        <v>1023</v>
      </c>
      <c r="K55" s="689" t="s">
        <v>2309</v>
      </c>
      <c r="L55" s="689" t="s">
        <v>2308</v>
      </c>
      <c r="M55" s="689"/>
      <c r="N55" s="874" t="s">
        <v>2310</v>
      </c>
      <c r="O55" s="1041">
        <v>0</v>
      </c>
      <c r="P55" s="689"/>
      <c r="Q55" s="689" t="s">
        <v>2294</v>
      </c>
      <c r="R55" s="696"/>
      <c r="S55" s="691">
        <v>4</v>
      </c>
      <c r="T55" s="691">
        <v>3</v>
      </c>
      <c r="U55" s="753" t="s">
        <v>2317</v>
      </c>
      <c r="V55" s="695"/>
      <c r="W55" s="689"/>
      <c r="X55" s="689"/>
      <c r="Y55" s="689"/>
      <c r="Z55" s="689"/>
    </row>
    <row r="56" spans="1:26" ht="12" customHeight="1" thickBot="1">
      <c r="A56" s="1640" t="s">
        <v>2304</v>
      </c>
      <c r="B56" s="1664" t="s">
        <v>1772</v>
      </c>
      <c r="C56" s="1675">
        <v>44317</v>
      </c>
      <c r="D56" s="1692">
        <v>44331</v>
      </c>
      <c r="E56" s="1702" t="s">
        <v>2305</v>
      </c>
      <c r="F56" s="1664"/>
      <c r="G56" s="1708" t="s">
        <v>2306</v>
      </c>
      <c r="H56" s="1664" t="s">
        <v>2307</v>
      </c>
      <c r="I56" s="1664" t="s">
        <v>18</v>
      </c>
      <c r="J56" s="1664" t="s">
        <v>1023</v>
      </c>
      <c r="K56" s="1664" t="s">
        <v>2309</v>
      </c>
      <c r="L56" s="1664" t="s">
        <v>2308</v>
      </c>
      <c r="M56" s="1664"/>
      <c r="N56" s="1711" t="s">
        <v>2310</v>
      </c>
      <c r="O56" s="1715"/>
      <c r="P56" s="1664"/>
      <c r="Q56" s="1664" t="s">
        <v>2294</v>
      </c>
      <c r="R56" s="1719"/>
      <c r="S56" s="1708">
        <v>4</v>
      </c>
      <c r="T56" s="1708">
        <v>3</v>
      </c>
      <c r="U56" s="1739" t="s">
        <v>2317</v>
      </c>
      <c r="V56" s="959"/>
      <c r="W56" s="954"/>
      <c r="X56" s="954"/>
      <c r="Y56" s="954"/>
      <c r="Z56" s="954"/>
    </row>
    <row r="57" spans="1:26" ht="12" customHeight="1">
      <c r="A57" s="698" t="s">
        <v>2304</v>
      </c>
      <c r="B57" s="689" t="s">
        <v>1772</v>
      </c>
      <c r="C57" s="690">
        <v>44681</v>
      </c>
      <c r="D57" s="690">
        <v>44695</v>
      </c>
      <c r="E57" s="689" t="s">
        <v>2305</v>
      </c>
      <c r="F57" s="689"/>
      <c r="G57" s="691" t="s">
        <v>2306</v>
      </c>
      <c r="H57" s="689" t="s">
        <v>2307</v>
      </c>
      <c r="I57" s="689" t="s">
        <v>18</v>
      </c>
      <c r="J57" s="689" t="s">
        <v>1023</v>
      </c>
      <c r="K57" s="689" t="s">
        <v>2309</v>
      </c>
      <c r="L57" s="689" t="s">
        <v>2308</v>
      </c>
      <c r="M57" s="689"/>
      <c r="N57" s="874" t="s">
        <v>2310</v>
      </c>
      <c r="O57" s="1041">
        <f>990*2+3*14*3+70</f>
        <v>2176</v>
      </c>
      <c r="P57" s="689"/>
      <c r="Q57" s="689" t="s">
        <v>3118</v>
      </c>
      <c r="R57" s="696">
        <v>2</v>
      </c>
      <c r="S57" s="691">
        <v>4</v>
      </c>
      <c r="T57" s="691">
        <v>3</v>
      </c>
      <c r="U57" s="697" t="s">
        <v>2317</v>
      </c>
      <c r="V57" s="695" t="s">
        <v>2892</v>
      </c>
      <c r="W57" s="689"/>
      <c r="X57" s="689"/>
      <c r="Y57" s="689"/>
      <c r="Z57" s="689"/>
    </row>
    <row r="58" spans="1:26" ht="12" customHeight="1" thickBot="1">
      <c r="A58" s="355" t="s">
        <v>2304</v>
      </c>
      <c r="B58" s="115" t="s">
        <v>1772</v>
      </c>
      <c r="C58" s="116">
        <v>45045</v>
      </c>
      <c r="D58" s="116">
        <v>45059</v>
      </c>
      <c r="E58" s="115" t="s">
        <v>2305</v>
      </c>
      <c r="F58" s="115"/>
      <c r="G58" s="361" t="s">
        <v>2306</v>
      </c>
      <c r="H58" s="115" t="s">
        <v>2307</v>
      </c>
      <c r="I58" s="115" t="s">
        <v>18</v>
      </c>
      <c r="J58" s="115" t="s">
        <v>1023</v>
      </c>
      <c r="K58" s="115" t="s">
        <v>2309</v>
      </c>
      <c r="L58" s="115" t="s">
        <v>2308</v>
      </c>
      <c r="M58" s="115"/>
      <c r="N58" s="121" t="s">
        <v>2310</v>
      </c>
      <c r="O58" s="1027">
        <f>1290*2</f>
        <v>2580</v>
      </c>
      <c r="P58" s="115"/>
      <c r="Q58" s="355" t="s">
        <v>3195</v>
      </c>
      <c r="R58" s="682">
        <v>2</v>
      </c>
      <c r="S58" s="361">
        <v>3</v>
      </c>
      <c r="T58" s="361">
        <v>2</v>
      </c>
      <c r="U58" s="129">
        <v>645</v>
      </c>
      <c r="V58" s="120" t="s">
        <v>3238</v>
      </c>
      <c r="W58" s="115"/>
      <c r="X58" s="115"/>
      <c r="Y58" s="115" t="s">
        <v>3263</v>
      </c>
      <c r="Z58" s="115"/>
    </row>
    <row r="59" spans="1:26" ht="12" customHeight="1">
      <c r="A59" s="720" t="s">
        <v>3408</v>
      </c>
      <c r="B59" s="1667" t="s">
        <v>682</v>
      </c>
      <c r="C59" s="1677">
        <v>45024</v>
      </c>
      <c r="D59" s="1677">
        <v>45031</v>
      </c>
      <c r="E59" s="1705"/>
      <c r="F59" s="1667"/>
      <c r="G59" s="1709"/>
      <c r="H59" s="1667"/>
      <c r="I59" s="1667" t="s">
        <v>18</v>
      </c>
      <c r="J59" s="1667" t="s">
        <v>51</v>
      </c>
      <c r="K59" s="1667" t="s">
        <v>3409</v>
      </c>
      <c r="L59" s="1667"/>
      <c r="M59" s="1667"/>
      <c r="N59" s="1712" t="s">
        <v>3407</v>
      </c>
      <c r="O59" s="1716">
        <v>1190</v>
      </c>
      <c r="P59" s="1667"/>
      <c r="Q59" s="1667" t="s">
        <v>717</v>
      </c>
      <c r="R59" s="1709">
        <v>1</v>
      </c>
      <c r="S59" s="1709">
        <v>2</v>
      </c>
      <c r="T59" s="1709">
        <v>2</v>
      </c>
      <c r="U59" s="1740">
        <v>300</v>
      </c>
      <c r="V59" s="120">
        <v>44937</v>
      </c>
      <c r="W59" s="115" t="s">
        <v>1338</v>
      </c>
      <c r="X59" s="115" t="s">
        <v>1154</v>
      </c>
      <c r="Y59" s="115" t="s">
        <v>3445</v>
      </c>
      <c r="Z59" s="115"/>
    </row>
    <row r="60" spans="1:26" s="21" customFormat="1" ht="12" customHeight="1">
      <c r="A60" s="20" t="s">
        <v>1433</v>
      </c>
      <c r="B60" s="21" t="s">
        <v>1434</v>
      </c>
      <c r="C60" s="30">
        <v>42252</v>
      </c>
      <c r="D60" s="30">
        <v>42266</v>
      </c>
      <c r="E60" s="21" t="s">
        <v>1435</v>
      </c>
      <c r="G60" s="764" t="s">
        <v>1436</v>
      </c>
      <c r="H60" s="21" t="s">
        <v>1437</v>
      </c>
      <c r="I60" s="21" t="s">
        <v>18</v>
      </c>
      <c r="J60" s="21" t="s">
        <v>51</v>
      </c>
      <c r="K60" s="21" t="s">
        <v>1438</v>
      </c>
      <c r="L60" s="21" t="s">
        <v>1439</v>
      </c>
      <c r="N60" s="50" t="s">
        <v>1440</v>
      </c>
      <c r="O60" s="1013">
        <f>1190+1190</f>
        <v>2380</v>
      </c>
      <c r="Q60" s="21" t="s">
        <v>1441</v>
      </c>
      <c r="R60" s="876">
        <v>2</v>
      </c>
      <c r="S60" s="764">
        <v>2</v>
      </c>
      <c r="T60" s="764">
        <v>3</v>
      </c>
      <c r="U60" s="75">
        <f>2380/4</f>
        <v>595</v>
      </c>
      <c r="V60" s="78">
        <v>42070</v>
      </c>
      <c r="X60" s="21" t="s">
        <v>1154</v>
      </c>
    </row>
    <row r="61" spans="1:26" s="21" customFormat="1" ht="12" customHeight="1">
      <c r="A61" s="1200" t="s">
        <v>3097</v>
      </c>
      <c r="B61" s="1136" t="s">
        <v>847</v>
      </c>
      <c r="C61" s="1137">
        <v>44779</v>
      </c>
      <c r="D61" s="1137">
        <v>44793</v>
      </c>
      <c r="E61" s="1138" t="s">
        <v>3098</v>
      </c>
      <c r="F61" s="1136"/>
      <c r="G61" s="1139" t="s">
        <v>3099</v>
      </c>
      <c r="H61" s="1138" t="s">
        <v>3100</v>
      </c>
      <c r="I61" s="1136" t="s">
        <v>18</v>
      </c>
      <c r="J61" s="1136" t="s">
        <v>1023</v>
      </c>
      <c r="K61" s="1136"/>
      <c r="L61" s="1138" t="s">
        <v>3101</v>
      </c>
      <c r="M61" s="1136"/>
      <c r="N61" s="1140" t="s">
        <v>3102</v>
      </c>
      <c r="O61" s="1141">
        <f>1990*2+70</f>
        <v>4050</v>
      </c>
      <c r="P61" s="1136"/>
      <c r="Q61" s="1136" t="s">
        <v>3094</v>
      </c>
      <c r="R61" s="1142">
        <v>2</v>
      </c>
      <c r="S61" s="1139">
        <v>4</v>
      </c>
      <c r="T61" s="1139">
        <v>2</v>
      </c>
      <c r="U61" s="1143">
        <v>995</v>
      </c>
      <c r="V61" s="1199">
        <v>44510</v>
      </c>
      <c r="W61" s="1136" t="s">
        <v>1338</v>
      </c>
      <c r="X61" s="1136" t="s">
        <v>1154</v>
      </c>
      <c r="Y61" s="1136"/>
      <c r="Z61" s="1136"/>
    </row>
    <row r="62" spans="1:26" s="21" customFormat="1" ht="12" customHeight="1">
      <c r="A62" s="20" t="s">
        <v>1147</v>
      </c>
      <c r="B62" s="21" t="s">
        <v>1148</v>
      </c>
      <c r="C62" s="30">
        <v>41769</v>
      </c>
      <c r="D62" s="30">
        <v>41783</v>
      </c>
      <c r="E62" s="21" t="s">
        <v>1149</v>
      </c>
      <c r="G62" s="764" t="s">
        <v>1150</v>
      </c>
      <c r="H62" s="21" t="s">
        <v>1151</v>
      </c>
      <c r="I62" s="21" t="s">
        <v>18</v>
      </c>
      <c r="J62" s="21" t="s">
        <v>51</v>
      </c>
      <c r="L62" s="21" t="s">
        <v>1152</v>
      </c>
      <c r="N62" s="50" t="s">
        <v>1153</v>
      </c>
      <c r="O62" s="1013">
        <f>790*2</f>
        <v>1580</v>
      </c>
      <c r="Q62" s="21" t="s">
        <v>1267</v>
      </c>
      <c r="R62" s="876">
        <v>2</v>
      </c>
      <c r="S62" s="764" t="s">
        <v>1025</v>
      </c>
      <c r="T62" s="764">
        <v>1</v>
      </c>
      <c r="U62" s="75">
        <f>O62/4</f>
        <v>395</v>
      </c>
      <c r="V62" s="78">
        <v>41467</v>
      </c>
      <c r="W62" s="21" t="s">
        <v>791</v>
      </c>
      <c r="X62" s="21" t="s">
        <v>1154</v>
      </c>
      <c r="Y62" s="21">
        <f>1580/4</f>
        <v>395</v>
      </c>
      <c r="Z62" s="21" t="s">
        <v>1172</v>
      </c>
    </row>
    <row r="63" spans="1:26" s="21" customFormat="1" ht="12" customHeight="1">
      <c r="A63" s="1089" t="s">
        <v>3156</v>
      </c>
      <c r="B63" s="1090" t="s">
        <v>538</v>
      </c>
      <c r="C63" s="1091">
        <v>44639</v>
      </c>
      <c r="D63" s="1091">
        <v>44646</v>
      </c>
      <c r="E63" s="1090"/>
      <c r="F63" s="1090"/>
      <c r="G63" s="1092"/>
      <c r="H63" s="1090"/>
      <c r="I63" s="1090" t="s">
        <v>18</v>
      </c>
      <c r="J63" s="1090" t="s">
        <v>51</v>
      </c>
      <c r="K63" s="1093"/>
      <c r="L63" s="1090" t="s">
        <v>3157</v>
      </c>
      <c r="M63" s="1090"/>
      <c r="N63" s="1115" t="s">
        <v>3158</v>
      </c>
      <c r="O63" s="1094">
        <f>890+42</f>
        <v>932</v>
      </c>
      <c r="P63" s="1090"/>
      <c r="Q63" s="1090" t="s">
        <v>1192</v>
      </c>
      <c r="R63" s="1095">
        <v>1</v>
      </c>
      <c r="S63" s="1092">
        <v>2</v>
      </c>
      <c r="T63" s="1092">
        <v>2</v>
      </c>
      <c r="U63" s="1096">
        <v>222.5</v>
      </c>
      <c r="V63" s="1603">
        <v>44598</v>
      </c>
      <c r="W63" s="1090" t="s">
        <v>1477</v>
      </c>
      <c r="X63" s="1090" t="s">
        <v>1154</v>
      </c>
      <c r="Y63" s="1090"/>
      <c r="Z63" s="1090"/>
    </row>
    <row r="64" spans="1:26" s="21" customFormat="1" ht="12" customHeight="1">
      <c r="A64" s="505" t="s">
        <v>1730</v>
      </c>
      <c r="B64" s="115" t="s">
        <v>1731</v>
      </c>
      <c r="C64" s="116">
        <v>42868</v>
      </c>
      <c r="D64" s="116">
        <v>42882</v>
      </c>
      <c r="E64" s="115" t="s">
        <v>1732</v>
      </c>
      <c r="F64" s="115"/>
      <c r="G64" s="361" t="s">
        <v>1733</v>
      </c>
      <c r="H64" s="115"/>
      <c r="I64" s="115" t="s">
        <v>18</v>
      </c>
      <c r="J64" s="115" t="s">
        <v>51</v>
      </c>
      <c r="K64" s="115"/>
      <c r="L64" s="115" t="s">
        <v>1734</v>
      </c>
      <c r="M64" s="115"/>
      <c r="N64" s="128" t="s">
        <v>1735</v>
      </c>
      <c r="O64" s="1027">
        <v>1400</v>
      </c>
      <c r="P64" s="115"/>
      <c r="Q64" s="115" t="s">
        <v>1736</v>
      </c>
      <c r="R64" s="682">
        <v>2</v>
      </c>
      <c r="S64" s="361">
        <v>2</v>
      </c>
      <c r="T64" s="361">
        <v>2</v>
      </c>
      <c r="U64" s="119">
        <v>347.5</v>
      </c>
      <c r="V64" s="120"/>
      <c r="W64" s="115"/>
      <c r="X64" s="115"/>
      <c r="Y64" s="115"/>
      <c r="Z64" s="115"/>
    </row>
    <row r="65" spans="1:26" s="21" customFormat="1" ht="12" customHeight="1">
      <c r="A65" s="1051" t="s">
        <v>2727</v>
      </c>
      <c r="B65" s="1052" t="s">
        <v>2728</v>
      </c>
      <c r="C65" s="1053" t="s">
        <v>2921</v>
      </c>
      <c r="D65" s="1054">
        <v>44702</v>
      </c>
      <c r="E65" s="1052" t="s">
        <v>2729</v>
      </c>
      <c r="F65" s="1052"/>
      <c r="G65" s="1055" t="s">
        <v>2730</v>
      </c>
      <c r="H65" s="1052" t="s">
        <v>2731</v>
      </c>
      <c r="I65" s="1052" t="s">
        <v>1775</v>
      </c>
      <c r="J65" s="1052" t="s">
        <v>51</v>
      </c>
      <c r="K65" s="1056"/>
      <c r="L65" s="1052" t="s">
        <v>3117</v>
      </c>
      <c r="M65" s="1052"/>
      <c r="N65" s="1057" t="s">
        <v>2732</v>
      </c>
      <c r="O65" s="1058"/>
      <c r="P65" s="1052"/>
      <c r="Q65" s="1052" t="s">
        <v>2733</v>
      </c>
      <c r="R65" s="1059">
        <v>0</v>
      </c>
      <c r="S65" s="1055">
        <v>4</v>
      </c>
      <c r="T65" s="1055">
        <v>3</v>
      </c>
      <c r="U65" s="1060">
        <v>431</v>
      </c>
      <c r="V65" s="1604">
        <v>44099</v>
      </c>
      <c r="W65" s="1052" t="s">
        <v>1477</v>
      </c>
      <c r="X65" s="1052" t="s">
        <v>1154</v>
      </c>
      <c r="Y65" s="1052" t="s">
        <v>3119</v>
      </c>
      <c r="Z65" s="1052"/>
    </row>
    <row r="66" spans="1:26" s="21" customFormat="1" ht="12" customHeight="1">
      <c r="A66" s="20" t="s">
        <v>1022</v>
      </c>
      <c r="B66" s="21" t="s">
        <v>1021</v>
      </c>
      <c r="C66" s="30">
        <v>41517</v>
      </c>
      <c r="D66" s="30">
        <v>41531</v>
      </c>
      <c r="G66" s="764"/>
      <c r="I66" s="21" t="s">
        <v>18</v>
      </c>
      <c r="J66" s="21" t="s">
        <v>1023</v>
      </c>
      <c r="L66" s="21" t="s">
        <v>1024</v>
      </c>
      <c r="N66" s="50" t="s">
        <v>1020</v>
      </c>
      <c r="O66" s="1013">
        <f>1290+1190+70+42</f>
        <v>2592</v>
      </c>
      <c r="Q66" s="21" t="s">
        <v>1025</v>
      </c>
      <c r="R66" s="876">
        <v>2</v>
      </c>
      <c r="S66" s="764" t="s">
        <v>1025</v>
      </c>
      <c r="T66" s="764"/>
      <c r="U66" s="75">
        <f>2480/4</f>
        <v>620</v>
      </c>
      <c r="V66" s="78">
        <v>41207</v>
      </c>
    </row>
    <row r="67" spans="1:26" s="21" customFormat="1" ht="12" customHeight="1">
      <c r="A67" s="505" t="s">
        <v>1022</v>
      </c>
      <c r="B67" s="115" t="s">
        <v>1815</v>
      </c>
      <c r="C67" s="116">
        <v>43344</v>
      </c>
      <c r="D67" s="116">
        <v>43358</v>
      </c>
      <c r="E67" s="115" t="s">
        <v>1816</v>
      </c>
      <c r="F67" s="115"/>
      <c r="G67" s="361" t="s">
        <v>1817</v>
      </c>
      <c r="H67" s="364" t="s">
        <v>1818</v>
      </c>
      <c r="I67" s="115" t="s">
        <v>18</v>
      </c>
      <c r="J67" s="115" t="s">
        <v>51</v>
      </c>
      <c r="K67" s="124" t="s">
        <v>1819</v>
      </c>
      <c r="L67" s="124" t="s">
        <v>1820</v>
      </c>
      <c r="M67" s="115"/>
      <c r="N67" s="128" t="s">
        <v>1020</v>
      </c>
      <c r="O67" s="1027">
        <f>1390+1190+70+2*14*3</f>
        <v>2734</v>
      </c>
      <c r="P67" s="115"/>
      <c r="Q67" s="115" t="s">
        <v>1821</v>
      </c>
      <c r="R67" s="682">
        <v>2</v>
      </c>
      <c r="S67" s="361">
        <v>2</v>
      </c>
      <c r="T67" s="361">
        <v>2</v>
      </c>
      <c r="U67" s="119">
        <v>663</v>
      </c>
      <c r="V67" s="120">
        <v>43041</v>
      </c>
      <c r="W67" s="115"/>
      <c r="X67" s="115" t="s">
        <v>1154</v>
      </c>
      <c r="Y67" s="115"/>
      <c r="Z67" s="115"/>
    </row>
    <row r="68" spans="1:26" s="21" customFormat="1" ht="12" customHeight="1">
      <c r="A68" s="20" t="s">
        <v>947</v>
      </c>
      <c r="C68" s="30">
        <v>41188</v>
      </c>
      <c r="D68" s="30">
        <v>41198</v>
      </c>
      <c r="E68" s="21" t="s">
        <v>948</v>
      </c>
      <c r="G68" s="764">
        <v>66879</v>
      </c>
      <c r="H68" s="21" t="s">
        <v>949</v>
      </c>
      <c r="I68" s="21" t="s">
        <v>18</v>
      </c>
      <c r="J68" s="21" t="s">
        <v>51</v>
      </c>
      <c r="K68" s="21">
        <v>49637170197</v>
      </c>
      <c r="L68" s="21" t="s">
        <v>1005</v>
      </c>
      <c r="N68" s="50"/>
      <c r="O68" s="1013">
        <f>790*2-330+70</f>
        <v>1320</v>
      </c>
      <c r="Q68" s="21" t="s">
        <v>674</v>
      </c>
      <c r="R68" s="876">
        <v>2</v>
      </c>
      <c r="S68" s="764">
        <v>5</v>
      </c>
      <c r="T68" s="764"/>
      <c r="U68" s="87">
        <v>300</v>
      </c>
      <c r="V68" s="78"/>
      <c r="W68" s="21" t="s">
        <v>951</v>
      </c>
    </row>
    <row r="69" spans="1:26" s="21" customFormat="1" ht="12" customHeight="1">
      <c r="A69" s="1648" t="s">
        <v>3835</v>
      </c>
      <c r="B69" s="498" t="s">
        <v>3836</v>
      </c>
      <c r="C69" s="499">
        <v>45381</v>
      </c>
      <c r="D69" s="499">
        <v>45388</v>
      </c>
      <c r="E69" s="498" t="s">
        <v>3837</v>
      </c>
      <c r="F69" s="498"/>
      <c r="G69" s="500" t="s">
        <v>3838</v>
      </c>
      <c r="H69" s="498" t="s">
        <v>3839</v>
      </c>
      <c r="I69" s="498" t="s">
        <v>3787</v>
      </c>
      <c r="J69" s="498" t="s">
        <v>51</v>
      </c>
      <c r="K69" s="688" t="s">
        <v>3840</v>
      </c>
      <c r="L69" s="498" t="s">
        <v>3841</v>
      </c>
      <c r="M69" s="498"/>
      <c r="N69" s="501" t="s">
        <v>3949</v>
      </c>
      <c r="O69" s="1040">
        <f>1190+70+42</f>
        <v>1302</v>
      </c>
      <c r="P69" s="498"/>
      <c r="Q69" s="1618" t="s">
        <v>3460</v>
      </c>
      <c r="R69" s="894">
        <v>1</v>
      </c>
      <c r="S69" s="500">
        <v>2</v>
      </c>
      <c r="T69" s="500">
        <v>2</v>
      </c>
      <c r="U69" s="1729" t="s">
        <v>3850</v>
      </c>
      <c r="V69" s="504">
        <v>45301</v>
      </c>
      <c r="W69" s="498" t="s">
        <v>1769</v>
      </c>
      <c r="X69" s="498" t="s">
        <v>1154</v>
      </c>
      <c r="Y69" s="498"/>
      <c r="Z69" s="498"/>
    </row>
    <row r="70" spans="1:26" s="21" customFormat="1" ht="12" customHeight="1">
      <c r="A70" s="20" t="s">
        <v>1313</v>
      </c>
      <c r="B70" s="21" t="s">
        <v>1314</v>
      </c>
      <c r="C70" s="30">
        <v>42168</v>
      </c>
      <c r="D70" s="30">
        <v>42182</v>
      </c>
      <c r="E70" s="21" t="s">
        <v>1315</v>
      </c>
      <c r="G70" s="764" t="s">
        <v>1316</v>
      </c>
      <c r="H70" s="21" t="s">
        <v>1317</v>
      </c>
      <c r="I70" s="21" t="s">
        <v>18</v>
      </c>
      <c r="J70" s="21" t="s">
        <v>51</v>
      </c>
      <c r="K70" s="21" t="s">
        <v>1318</v>
      </c>
      <c r="L70" s="21" t="s">
        <v>1319</v>
      </c>
      <c r="N70" s="50" t="s">
        <v>1320</v>
      </c>
      <c r="O70" s="1013">
        <f>1190+1290</f>
        <v>2480</v>
      </c>
      <c r="Q70" s="21" t="s">
        <v>1321</v>
      </c>
      <c r="R70" s="876">
        <v>2</v>
      </c>
      <c r="S70" s="764" t="s">
        <v>199</v>
      </c>
      <c r="T70" s="764">
        <v>3</v>
      </c>
      <c r="U70" s="75">
        <f>620</f>
        <v>620</v>
      </c>
      <c r="V70" s="78">
        <v>41828</v>
      </c>
      <c r="W70" s="21" t="s">
        <v>791</v>
      </c>
      <c r="X70" s="21" t="s">
        <v>1154</v>
      </c>
    </row>
    <row r="71" spans="1:26" s="21" customFormat="1" ht="12" customHeight="1">
      <c r="A71" s="1200" t="s">
        <v>3120</v>
      </c>
      <c r="B71" s="1136" t="s">
        <v>2686</v>
      </c>
      <c r="C71" s="1144">
        <v>44723</v>
      </c>
      <c r="D71" s="1137">
        <v>44730</v>
      </c>
      <c r="E71" s="1136" t="s">
        <v>3124</v>
      </c>
      <c r="F71" s="1136"/>
      <c r="G71" s="1139" t="s">
        <v>3123</v>
      </c>
      <c r="H71" s="1136" t="s">
        <v>239</v>
      </c>
      <c r="I71" s="1136" t="s">
        <v>18</v>
      </c>
      <c r="J71" s="1136" t="s">
        <v>51</v>
      </c>
      <c r="K71" s="1136" t="s">
        <v>3121</v>
      </c>
      <c r="L71" s="1136" t="s">
        <v>3122</v>
      </c>
      <c r="M71" s="1136"/>
      <c r="N71" s="1146" t="s">
        <v>3125</v>
      </c>
      <c r="O71" s="1141">
        <f>1590+70+21</f>
        <v>1681</v>
      </c>
      <c r="P71" s="1136"/>
      <c r="Q71" s="1136" t="s">
        <v>3126</v>
      </c>
      <c r="R71" s="1142">
        <v>1</v>
      </c>
      <c r="S71" s="1139">
        <v>2</v>
      </c>
      <c r="T71" s="1139">
        <v>1</v>
      </c>
      <c r="U71" s="1202">
        <v>400</v>
      </c>
      <c r="V71" s="1199">
        <v>44568</v>
      </c>
      <c r="W71" s="1136" t="s">
        <v>1338</v>
      </c>
      <c r="X71" s="1136" t="s">
        <v>1154</v>
      </c>
      <c r="Y71" s="1136"/>
      <c r="Z71" s="1136"/>
    </row>
    <row r="72" spans="1:26" s="21" customFormat="1" ht="12" customHeight="1">
      <c r="A72" s="20" t="s">
        <v>613</v>
      </c>
      <c r="B72" s="21" t="s">
        <v>614</v>
      </c>
      <c r="C72" s="30">
        <v>40264</v>
      </c>
      <c r="D72" s="30">
        <v>40271</v>
      </c>
      <c r="E72" s="21" t="s">
        <v>616</v>
      </c>
      <c r="G72" s="764" t="s">
        <v>618</v>
      </c>
      <c r="H72" s="21" t="s">
        <v>617</v>
      </c>
      <c r="I72" s="21" t="s">
        <v>18</v>
      </c>
      <c r="J72" s="21" t="s">
        <v>51</v>
      </c>
      <c r="K72" s="21" t="s">
        <v>619</v>
      </c>
      <c r="N72" s="50" t="s">
        <v>615</v>
      </c>
      <c r="O72" s="1013">
        <f>800+70+21</f>
        <v>891</v>
      </c>
      <c r="Q72" s="21" t="s">
        <v>600</v>
      </c>
      <c r="R72" s="876">
        <v>1</v>
      </c>
      <c r="S72" s="764">
        <v>4</v>
      </c>
      <c r="T72" s="764">
        <v>1</v>
      </c>
      <c r="U72" s="46">
        <f>200</f>
        <v>200</v>
      </c>
      <c r="V72" s="78"/>
    </row>
    <row r="73" spans="1:26" s="21" customFormat="1" ht="12" customHeight="1">
      <c r="A73" s="509" t="s">
        <v>1866</v>
      </c>
      <c r="B73" s="355" t="s">
        <v>1867</v>
      </c>
      <c r="C73" s="357">
        <v>43358</v>
      </c>
      <c r="D73" s="357">
        <v>43372</v>
      </c>
      <c r="E73" s="355" t="s">
        <v>1868</v>
      </c>
      <c r="F73" s="355"/>
      <c r="G73" s="358" t="s">
        <v>1869</v>
      </c>
      <c r="H73" s="367" t="s">
        <v>1870</v>
      </c>
      <c r="I73" s="355" t="s">
        <v>18</v>
      </c>
      <c r="J73" s="355" t="s">
        <v>51</v>
      </c>
      <c r="K73" s="368"/>
      <c r="L73" s="368" t="s">
        <v>1871</v>
      </c>
      <c r="M73" s="355"/>
      <c r="N73" s="365" t="s">
        <v>1872</v>
      </c>
      <c r="O73" s="1036">
        <f>1090+1190+70+42</f>
        <v>2392</v>
      </c>
      <c r="P73" s="355"/>
      <c r="Q73" s="355" t="s">
        <v>1873</v>
      </c>
      <c r="R73" s="891">
        <v>2</v>
      </c>
      <c r="S73" s="358">
        <v>2</v>
      </c>
      <c r="T73" s="358">
        <v>1</v>
      </c>
      <c r="U73" s="356" t="s">
        <v>1832</v>
      </c>
      <c r="V73" s="360">
        <v>43074</v>
      </c>
      <c r="W73" s="355" t="s">
        <v>1477</v>
      </c>
      <c r="X73" s="355" t="s">
        <v>1154</v>
      </c>
      <c r="Y73" s="355"/>
      <c r="Z73" s="355"/>
    </row>
    <row r="74" spans="1:26" s="21" customFormat="1" ht="12" customHeight="1" thickBot="1">
      <c r="A74" s="511" t="s">
        <v>2016</v>
      </c>
      <c r="B74" s="1651" t="s">
        <v>2017</v>
      </c>
      <c r="C74" s="1673">
        <v>43715</v>
      </c>
      <c r="D74" s="1673">
        <v>43729</v>
      </c>
      <c r="E74" s="1651" t="s">
        <v>2018</v>
      </c>
      <c r="F74" s="1651"/>
      <c r="G74" s="1707" t="s">
        <v>2019</v>
      </c>
      <c r="H74" s="1651" t="s">
        <v>2020</v>
      </c>
      <c r="I74" s="1651" t="s">
        <v>18</v>
      </c>
      <c r="J74" s="1651" t="s">
        <v>1023</v>
      </c>
      <c r="K74" s="1651"/>
      <c r="L74" s="1651" t="s">
        <v>2021</v>
      </c>
      <c r="M74" s="1651"/>
      <c r="N74" s="995" t="s">
        <v>2022</v>
      </c>
      <c r="O74" s="1714">
        <f>1290+1390</f>
        <v>2680</v>
      </c>
      <c r="P74" s="1651"/>
      <c r="Q74" s="1651" t="s">
        <v>2023</v>
      </c>
      <c r="R74" s="1718">
        <v>2</v>
      </c>
      <c r="S74" s="1707">
        <v>2</v>
      </c>
      <c r="T74" s="1707">
        <v>2</v>
      </c>
      <c r="U74" s="1736" t="s">
        <v>2024</v>
      </c>
      <c r="V74" s="120">
        <v>43410</v>
      </c>
      <c r="W74" s="115"/>
      <c r="X74" s="115"/>
      <c r="Y74" s="115"/>
      <c r="Z74" s="115"/>
    </row>
    <row r="75" spans="1:26" ht="12" customHeight="1">
      <c r="A75" s="509" t="s">
        <v>1961</v>
      </c>
      <c r="B75" s="355" t="s">
        <v>1962</v>
      </c>
      <c r="C75" s="357">
        <v>43372</v>
      </c>
      <c r="D75" s="357">
        <v>43379</v>
      </c>
      <c r="E75" s="355" t="s">
        <v>1963</v>
      </c>
      <c r="F75" s="355"/>
      <c r="G75" s="358" t="s">
        <v>1964</v>
      </c>
      <c r="H75" s="367" t="s">
        <v>1965</v>
      </c>
      <c r="I75" s="355" t="s">
        <v>18</v>
      </c>
      <c r="J75" s="355" t="s">
        <v>1023</v>
      </c>
      <c r="K75" s="368"/>
      <c r="L75" s="368" t="s">
        <v>1966</v>
      </c>
      <c r="M75" s="355"/>
      <c r="N75" s="365" t="s">
        <v>1967</v>
      </c>
      <c r="O75" s="1036">
        <f>890+21+70</f>
        <v>981</v>
      </c>
      <c r="P75" s="355"/>
      <c r="Q75" s="355" t="s">
        <v>1968</v>
      </c>
      <c r="R75" s="891">
        <v>1</v>
      </c>
      <c r="S75" s="358">
        <v>2</v>
      </c>
      <c r="T75" s="358">
        <v>1</v>
      </c>
      <c r="U75" s="478" t="s">
        <v>1832</v>
      </c>
      <c r="V75" s="360">
        <v>43354</v>
      </c>
      <c r="W75" s="355" t="s">
        <v>1477</v>
      </c>
      <c r="X75" s="355" t="s">
        <v>1154</v>
      </c>
      <c r="Y75" s="355"/>
      <c r="Z75" s="355"/>
    </row>
    <row r="76" spans="1:26" ht="12" customHeight="1" thickBot="1">
      <c r="A76" s="20" t="s">
        <v>602</v>
      </c>
      <c r="B76" s="21" t="s">
        <v>603</v>
      </c>
      <c r="C76" s="30">
        <v>40432</v>
      </c>
      <c r="D76" s="30">
        <v>40446</v>
      </c>
      <c r="E76" s="21"/>
      <c r="F76" s="21"/>
      <c r="G76" s="764"/>
      <c r="H76" s="21"/>
      <c r="I76" s="21" t="s">
        <v>18</v>
      </c>
      <c r="J76" s="21" t="s">
        <v>51</v>
      </c>
      <c r="K76" s="21" t="s">
        <v>605</v>
      </c>
      <c r="L76" s="21" t="s">
        <v>606</v>
      </c>
      <c r="M76" s="21"/>
      <c r="N76" s="50" t="s">
        <v>607</v>
      </c>
      <c r="O76" s="1020">
        <f>2400+70+2*3*14</f>
        <v>2554</v>
      </c>
      <c r="P76" s="21"/>
      <c r="Q76" s="21" t="s">
        <v>604</v>
      </c>
      <c r="R76" s="876">
        <v>2</v>
      </c>
      <c r="S76" s="764">
        <v>2</v>
      </c>
      <c r="T76" s="764">
        <v>2</v>
      </c>
      <c r="U76" s="1727">
        <f>2400/4</f>
        <v>600</v>
      </c>
      <c r="V76" s="78"/>
      <c r="W76" s="21"/>
      <c r="X76" s="21"/>
      <c r="Y76" s="21"/>
      <c r="Z76" s="21"/>
    </row>
    <row r="77" spans="1:26" ht="12" customHeight="1" thickBot="1">
      <c r="A77" s="517" t="s">
        <v>2984</v>
      </c>
      <c r="B77" s="539" t="s">
        <v>2983</v>
      </c>
      <c r="C77" s="116">
        <v>44464</v>
      </c>
      <c r="D77" s="651">
        <v>44471</v>
      </c>
      <c r="E77" s="539" t="s">
        <v>2985</v>
      </c>
      <c r="F77" s="115"/>
      <c r="G77" s="361" t="s">
        <v>2986</v>
      </c>
      <c r="H77" s="115" t="s">
        <v>2987</v>
      </c>
      <c r="I77" s="115" t="s">
        <v>1775</v>
      </c>
      <c r="J77" s="115" t="s">
        <v>1023</v>
      </c>
      <c r="K77" s="124"/>
      <c r="L77" s="921" t="s">
        <v>3042</v>
      </c>
      <c r="M77" s="115"/>
      <c r="N77" s="128" t="s">
        <v>2988</v>
      </c>
      <c r="O77" s="1044">
        <f>1290+3*2*7+70</f>
        <v>1402</v>
      </c>
      <c r="P77" s="115"/>
      <c r="Q77" s="115" t="s">
        <v>1192</v>
      </c>
      <c r="R77" s="682">
        <v>1</v>
      </c>
      <c r="S77" s="361">
        <v>2</v>
      </c>
      <c r="T77" s="361">
        <v>2</v>
      </c>
      <c r="U77" s="921">
        <v>322.5</v>
      </c>
      <c r="V77" s="120">
        <v>44388</v>
      </c>
      <c r="W77" s="115" t="s">
        <v>1338</v>
      </c>
      <c r="X77" s="115" t="s">
        <v>1154</v>
      </c>
      <c r="Y77" s="115"/>
      <c r="Z77" s="115"/>
    </row>
    <row r="78" spans="1:26" ht="12" customHeight="1" thickBot="1">
      <c r="A78" s="1631" t="s">
        <v>2288</v>
      </c>
      <c r="B78" s="1655" t="s">
        <v>2287</v>
      </c>
      <c r="C78" s="1671">
        <v>43974</v>
      </c>
      <c r="D78" s="1683">
        <v>43988</v>
      </c>
      <c r="E78" s="1696" t="s">
        <v>2289</v>
      </c>
      <c r="F78" s="699"/>
      <c r="G78" s="701" t="s">
        <v>2290</v>
      </c>
      <c r="H78" s="699" t="s">
        <v>2291</v>
      </c>
      <c r="I78" s="699" t="s">
        <v>18</v>
      </c>
      <c r="J78" s="699" t="s">
        <v>51</v>
      </c>
      <c r="K78" s="699"/>
      <c r="L78" s="699" t="s">
        <v>2292</v>
      </c>
      <c r="M78" s="699"/>
      <c r="N78" s="875" t="s">
        <v>2293</v>
      </c>
      <c r="O78" s="1042">
        <v>0</v>
      </c>
      <c r="P78" s="699"/>
      <c r="Q78" s="699" t="s">
        <v>2555</v>
      </c>
      <c r="R78" s="709"/>
      <c r="S78" s="701">
        <v>4</v>
      </c>
      <c r="T78" s="701">
        <v>3</v>
      </c>
      <c r="U78" s="708" t="s">
        <v>2261</v>
      </c>
      <c r="V78" s="706">
        <v>43580</v>
      </c>
      <c r="W78" s="699" t="s">
        <v>1769</v>
      </c>
      <c r="X78" s="699" t="s">
        <v>1154</v>
      </c>
      <c r="Y78" s="699" t="s">
        <v>2554</v>
      </c>
      <c r="Z78" s="699"/>
    </row>
    <row r="79" spans="1:26" ht="12" customHeight="1" thickBot="1">
      <c r="A79" s="1634" t="s">
        <v>3388</v>
      </c>
      <c r="B79" s="1471" t="s">
        <v>3389</v>
      </c>
      <c r="C79" s="1471">
        <v>45143</v>
      </c>
      <c r="D79" s="1686">
        <v>45150</v>
      </c>
      <c r="E79" s="1697" t="s">
        <v>3390</v>
      </c>
      <c r="F79" s="1470"/>
      <c r="G79" s="1472" t="s">
        <v>3391</v>
      </c>
      <c r="H79" s="1470" t="s">
        <v>3392</v>
      </c>
      <c r="I79" s="1470" t="s">
        <v>1775</v>
      </c>
      <c r="J79" s="1470" t="s">
        <v>51</v>
      </c>
      <c r="K79" s="1473"/>
      <c r="L79" s="1478" t="s">
        <v>3393</v>
      </c>
      <c r="M79" s="1470"/>
      <c r="N79" s="1458" t="s">
        <v>3395</v>
      </c>
      <c r="O79" s="1474">
        <f>623+1958</f>
        <v>2581</v>
      </c>
      <c r="P79" s="1470"/>
      <c r="Q79" s="1470" t="s">
        <v>3394</v>
      </c>
      <c r="R79" s="1475">
        <v>1</v>
      </c>
      <c r="S79" s="1472">
        <v>44717</v>
      </c>
      <c r="T79" s="1472">
        <v>1</v>
      </c>
      <c r="U79" s="1642">
        <v>623</v>
      </c>
      <c r="V79" s="1607">
        <v>44925</v>
      </c>
      <c r="W79" s="1470" t="s">
        <v>1477</v>
      </c>
      <c r="X79" s="1470" t="s">
        <v>1154</v>
      </c>
      <c r="Y79" s="1470" t="s">
        <v>3397</v>
      </c>
      <c r="Z79" s="1470"/>
    </row>
    <row r="80" spans="1:26" ht="12" customHeight="1" thickBot="1">
      <c r="A80" s="717" t="s">
        <v>3648</v>
      </c>
      <c r="B80" s="729" t="s">
        <v>3647</v>
      </c>
      <c r="C80" s="924">
        <v>45584</v>
      </c>
      <c r="D80" s="1404">
        <v>45591</v>
      </c>
      <c r="E80" s="1409" t="s">
        <v>3610</v>
      </c>
      <c r="F80" s="923"/>
      <c r="G80" s="925" t="s">
        <v>3611</v>
      </c>
      <c r="H80" s="923" t="s">
        <v>720</v>
      </c>
      <c r="I80" s="923" t="s">
        <v>18</v>
      </c>
      <c r="J80" s="923" t="s">
        <v>51</v>
      </c>
      <c r="K80" s="926"/>
      <c r="L80" s="961" t="s">
        <v>3612</v>
      </c>
      <c r="M80" s="115"/>
      <c r="N80" s="121" t="s">
        <v>3646</v>
      </c>
      <c r="O80" s="1044"/>
      <c r="P80" s="115"/>
      <c r="Q80" s="115"/>
      <c r="R80" s="682"/>
      <c r="S80" s="361"/>
      <c r="T80" s="361"/>
      <c r="U80" s="361"/>
      <c r="V80" s="120"/>
      <c r="W80" s="115"/>
      <c r="X80" s="115"/>
      <c r="Y80" s="115"/>
      <c r="Z80" s="115"/>
    </row>
    <row r="81" spans="1:26" ht="12" customHeight="1" thickBot="1">
      <c r="A81" s="355" t="s">
        <v>2026</v>
      </c>
      <c r="B81" s="355" t="s">
        <v>1953</v>
      </c>
      <c r="C81" s="357">
        <v>43624</v>
      </c>
      <c r="D81" s="565">
        <v>43638</v>
      </c>
      <c r="E81" s="576" t="s">
        <v>1954</v>
      </c>
      <c r="F81" s="355"/>
      <c r="G81" s="358" t="s">
        <v>1955</v>
      </c>
      <c r="H81" s="355" t="s">
        <v>1956</v>
      </c>
      <c r="I81" s="355" t="s">
        <v>18</v>
      </c>
      <c r="J81" s="355" t="s">
        <v>1023</v>
      </c>
      <c r="K81" s="355" t="s">
        <v>1957</v>
      </c>
      <c r="L81" s="355" t="s">
        <v>1958</v>
      </c>
      <c r="M81" s="355"/>
      <c r="N81" s="365"/>
      <c r="O81" s="1036">
        <f>1090+1190</f>
        <v>2280</v>
      </c>
      <c r="P81" s="355"/>
      <c r="Q81" s="355" t="s">
        <v>599</v>
      </c>
      <c r="R81" s="891">
        <v>2</v>
      </c>
      <c r="S81" s="358">
        <v>2</v>
      </c>
      <c r="T81" s="358">
        <v>2</v>
      </c>
      <c r="U81" s="417" t="s">
        <v>1960</v>
      </c>
      <c r="V81" s="360"/>
      <c r="W81" s="355"/>
      <c r="X81" s="355"/>
      <c r="Y81" s="355"/>
      <c r="Z81" s="355"/>
    </row>
    <row r="82" spans="1:26" ht="12" customHeight="1" thickBot="1">
      <c r="A82" s="517" t="s">
        <v>1580</v>
      </c>
      <c r="B82" s="539" t="s">
        <v>1581</v>
      </c>
      <c r="C82" s="116">
        <v>42532</v>
      </c>
      <c r="D82" s="568">
        <v>42546</v>
      </c>
      <c r="E82" s="535" t="s">
        <v>1582</v>
      </c>
      <c r="F82" s="115"/>
      <c r="G82" s="361" t="s">
        <v>1583</v>
      </c>
      <c r="H82" s="115" t="s">
        <v>1584</v>
      </c>
      <c r="I82" s="115" t="s">
        <v>18</v>
      </c>
      <c r="J82" s="115" t="s">
        <v>51</v>
      </c>
      <c r="K82" s="115" t="s">
        <v>1585</v>
      </c>
      <c r="L82" s="115" t="s">
        <v>1586</v>
      </c>
      <c r="M82" s="115"/>
      <c r="N82" s="128" t="s">
        <v>1649</v>
      </c>
      <c r="O82" s="1027">
        <v>2300</v>
      </c>
      <c r="P82" s="115"/>
      <c r="Q82" s="115" t="s">
        <v>1598</v>
      </c>
      <c r="R82" s="682">
        <v>2</v>
      </c>
      <c r="S82" s="361" t="s">
        <v>1598</v>
      </c>
      <c r="T82" s="361"/>
      <c r="U82" s="598">
        <v>575</v>
      </c>
      <c r="V82" s="120"/>
      <c r="W82" s="115"/>
      <c r="X82" s="115"/>
      <c r="Y82" s="115"/>
      <c r="Z82" s="115"/>
    </row>
    <row r="83" spans="1:26" ht="12" customHeight="1" thickBot="1">
      <c r="A83" s="1632" t="s">
        <v>1544</v>
      </c>
      <c r="B83" s="1656" t="s">
        <v>1545</v>
      </c>
      <c r="C83" s="846">
        <v>42623</v>
      </c>
      <c r="D83" s="1684">
        <v>42630</v>
      </c>
      <c r="E83" s="1656" t="s">
        <v>1549</v>
      </c>
      <c r="F83" s="845"/>
      <c r="G83" s="847" t="s">
        <v>1550</v>
      </c>
      <c r="H83" s="845" t="s">
        <v>1551</v>
      </c>
      <c r="I83" s="845" t="s">
        <v>18</v>
      </c>
      <c r="J83" s="845" t="s">
        <v>51</v>
      </c>
      <c r="K83" s="845"/>
      <c r="L83" s="845" t="s">
        <v>1546</v>
      </c>
      <c r="M83" s="845"/>
      <c r="N83" s="128" t="s">
        <v>1719</v>
      </c>
      <c r="O83" s="1030">
        <f>(1190+1090+990)/4 +1190*3/4+9*7+70</f>
        <v>1843</v>
      </c>
      <c r="P83" s="845"/>
      <c r="Q83" s="845" t="s">
        <v>1548</v>
      </c>
      <c r="R83" s="888">
        <v>1</v>
      </c>
      <c r="S83" s="847" t="s">
        <v>1300</v>
      </c>
      <c r="T83" s="847">
        <v>3</v>
      </c>
      <c r="U83" s="1362"/>
      <c r="V83" s="848">
        <v>42435</v>
      </c>
      <c r="W83" s="845"/>
      <c r="X83" s="845" t="s">
        <v>1154</v>
      </c>
      <c r="Y83" s="845"/>
      <c r="Z83" s="845"/>
    </row>
    <row r="84" spans="1:26" ht="12" customHeight="1">
      <c r="A84" s="21" t="s">
        <v>765</v>
      </c>
      <c r="B84" s="21" t="s">
        <v>511</v>
      </c>
      <c r="C84" s="30">
        <v>40803</v>
      </c>
      <c r="D84" s="30">
        <v>40817</v>
      </c>
      <c r="E84" s="21"/>
      <c r="F84" s="21"/>
      <c r="G84" s="764"/>
      <c r="H84" s="21"/>
      <c r="I84" s="21" t="s">
        <v>18</v>
      </c>
      <c r="J84" s="21" t="s">
        <v>51</v>
      </c>
      <c r="K84" s="21"/>
      <c r="L84" s="21"/>
      <c r="M84" s="21"/>
      <c r="N84" s="50" t="s">
        <v>764</v>
      </c>
      <c r="O84" s="1013">
        <f>990+1090+70</f>
        <v>2150</v>
      </c>
      <c r="P84" s="21"/>
      <c r="Q84" s="21" t="s">
        <v>199</v>
      </c>
      <c r="R84" s="876">
        <v>2</v>
      </c>
      <c r="S84" s="764">
        <v>2</v>
      </c>
      <c r="T84" s="764">
        <v>0</v>
      </c>
      <c r="U84" s="1364">
        <f>O84/4</f>
        <v>537.5</v>
      </c>
      <c r="V84" s="78"/>
      <c r="W84" s="21"/>
      <c r="X84" s="21"/>
      <c r="Y84" s="21"/>
      <c r="Z84" s="21"/>
    </row>
    <row r="85" spans="1:26" ht="12" customHeight="1">
      <c r="A85" s="1090" t="s">
        <v>614</v>
      </c>
      <c r="B85" s="1090" t="s">
        <v>3032</v>
      </c>
      <c r="C85" s="1091">
        <v>44667</v>
      </c>
      <c r="D85" s="1091">
        <v>44681</v>
      </c>
      <c r="E85" s="1090" t="s">
        <v>3033</v>
      </c>
      <c r="F85" s="1090"/>
      <c r="G85" s="1092" t="s">
        <v>3034</v>
      </c>
      <c r="H85" s="1090" t="s">
        <v>3035</v>
      </c>
      <c r="I85" s="1090" t="s">
        <v>18</v>
      </c>
      <c r="J85" s="1090" t="s">
        <v>51</v>
      </c>
      <c r="K85" s="1093" t="s">
        <v>3037</v>
      </c>
      <c r="L85" s="1090" t="s">
        <v>3036</v>
      </c>
      <c r="M85" s="1090"/>
      <c r="N85" s="1115" t="s">
        <v>3038</v>
      </c>
      <c r="O85" s="1094">
        <f>890+990+14*6+70</f>
        <v>2034</v>
      </c>
      <c r="P85" s="1090"/>
      <c r="Q85" s="1090" t="s">
        <v>1192</v>
      </c>
      <c r="R85" s="1095">
        <v>2</v>
      </c>
      <c r="S85" s="1092">
        <v>2</v>
      </c>
      <c r="T85" s="1092">
        <v>2</v>
      </c>
      <c r="U85" s="1377" t="s">
        <v>3039</v>
      </c>
      <c r="V85" s="1603"/>
      <c r="W85" s="1090" t="s">
        <v>1477</v>
      </c>
      <c r="X85" s="1090" t="s">
        <v>1154</v>
      </c>
      <c r="Y85" s="1090"/>
      <c r="Z85" s="1090"/>
    </row>
    <row r="86" spans="1:26" ht="12" customHeight="1">
      <c r="A86" s="21" t="s">
        <v>876</v>
      </c>
      <c r="B86" s="21" t="s">
        <v>875</v>
      </c>
      <c r="C86" s="30">
        <v>40992</v>
      </c>
      <c r="D86" s="30">
        <v>41008</v>
      </c>
      <c r="E86" s="21" t="s">
        <v>877</v>
      </c>
      <c r="F86" s="21"/>
      <c r="G86" s="764" t="s">
        <v>878</v>
      </c>
      <c r="H86" s="21" t="s">
        <v>879</v>
      </c>
      <c r="I86" s="21" t="s">
        <v>18</v>
      </c>
      <c r="J86" s="21" t="s">
        <v>51</v>
      </c>
      <c r="K86" s="21" t="s">
        <v>929</v>
      </c>
      <c r="L86" s="21" t="s">
        <v>880</v>
      </c>
      <c r="M86" s="21"/>
      <c r="N86" s="50" t="s">
        <v>881</v>
      </c>
      <c r="O86" s="1013">
        <f>690*2+200+70</f>
        <v>1650</v>
      </c>
      <c r="P86" s="21"/>
      <c r="Q86" s="21" t="s">
        <v>883</v>
      </c>
      <c r="R86" s="876">
        <v>2</v>
      </c>
      <c r="S86" s="764">
        <v>4</v>
      </c>
      <c r="T86" s="764"/>
      <c r="U86" s="1367">
        <f>O86/4</f>
        <v>412.5</v>
      </c>
      <c r="V86" s="78">
        <v>40970</v>
      </c>
      <c r="W86" s="21"/>
      <c r="X86" s="21"/>
      <c r="Y86" s="21"/>
      <c r="Z86" s="21"/>
    </row>
    <row r="87" spans="1:26" ht="12" customHeight="1">
      <c r="A87" s="21" t="s">
        <v>626</v>
      </c>
      <c r="B87" s="21" t="s">
        <v>627</v>
      </c>
      <c r="C87" s="30">
        <v>40362</v>
      </c>
      <c r="D87" s="30">
        <v>40369</v>
      </c>
      <c r="E87" s="21"/>
      <c r="F87" s="21"/>
      <c r="G87" s="764"/>
      <c r="H87" s="21"/>
      <c r="I87" s="21"/>
      <c r="J87" s="21" t="s">
        <v>51</v>
      </c>
      <c r="K87" s="21"/>
      <c r="L87" s="21"/>
      <c r="M87" s="21"/>
      <c r="N87" s="51" t="s">
        <v>625</v>
      </c>
      <c r="O87" s="1020">
        <v>1390</v>
      </c>
      <c r="P87" s="21"/>
      <c r="Q87" s="21" t="s">
        <v>628</v>
      </c>
      <c r="R87" s="876">
        <v>1</v>
      </c>
      <c r="S87" s="764">
        <v>5</v>
      </c>
      <c r="T87" s="764">
        <v>0</v>
      </c>
      <c r="U87" s="1380">
        <f>O87/4</f>
        <v>347.5</v>
      </c>
      <c r="V87" s="78"/>
      <c r="W87" s="21"/>
      <c r="X87" s="21"/>
      <c r="Y87" s="21"/>
      <c r="Z87" s="21"/>
    </row>
    <row r="88" spans="1:26" ht="12" customHeight="1">
      <c r="A88" s="1633" t="s">
        <v>3592</v>
      </c>
      <c r="B88" s="1620" t="s">
        <v>3593</v>
      </c>
      <c r="C88" s="1621">
        <v>45465</v>
      </c>
      <c r="D88" s="1621">
        <v>45479</v>
      </c>
      <c r="E88" s="1620" t="s">
        <v>3594</v>
      </c>
      <c r="F88" s="1620"/>
      <c r="G88" s="1622" t="s">
        <v>3595</v>
      </c>
      <c r="H88" s="1620" t="s">
        <v>3596</v>
      </c>
      <c r="I88" s="1620" t="s">
        <v>18</v>
      </c>
      <c r="J88" s="1620" t="s">
        <v>51</v>
      </c>
      <c r="K88" s="1623" t="s">
        <v>3597</v>
      </c>
      <c r="L88" s="1620"/>
      <c r="M88" s="1620"/>
      <c r="N88" s="1429" t="s">
        <v>3598</v>
      </c>
      <c r="O88" s="1624">
        <v>0</v>
      </c>
      <c r="P88" s="1620"/>
      <c r="Q88" s="1620" t="s">
        <v>3972</v>
      </c>
      <c r="R88" s="1625">
        <v>2</v>
      </c>
      <c r="S88" s="1622">
        <v>4</v>
      </c>
      <c r="T88" s="1622">
        <v>1</v>
      </c>
      <c r="U88" s="1732">
        <v>1120</v>
      </c>
      <c r="V88" s="1627">
        <v>45172</v>
      </c>
      <c r="W88" s="1620" t="s">
        <v>1665</v>
      </c>
      <c r="X88" s="1620" t="s">
        <v>1154</v>
      </c>
      <c r="Y88" s="1620"/>
      <c r="Z88" s="1620"/>
    </row>
    <row r="89" spans="1:26" s="61" customFormat="1" ht="12" customHeight="1">
      <c r="A89" s="1250" t="s">
        <v>3485</v>
      </c>
      <c r="B89" s="923" t="s">
        <v>2777</v>
      </c>
      <c r="C89" s="924">
        <v>45122</v>
      </c>
      <c r="D89" s="924">
        <v>45129</v>
      </c>
      <c r="E89" s="923"/>
      <c r="F89" s="923"/>
      <c r="G89" s="925" t="s">
        <v>3486</v>
      </c>
      <c r="H89" s="923" t="s">
        <v>2474</v>
      </c>
      <c r="I89" s="923" t="s">
        <v>18</v>
      </c>
      <c r="J89" s="923" t="s">
        <v>51</v>
      </c>
      <c r="K89" s="926"/>
      <c r="L89" s="923" t="s">
        <v>3487</v>
      </c>
      <c r="M89" s="923"/>
      <c r="N89" s="121" t="s">
        <v>3488</v>
      </c>
      <c r="O89" s="1195">
        <v>2490</v>
      </c>
      <c r="P89" s="923"/>
      <c r="Q89" s="923" t="s">
        <v>3489</v>
      </c>
      <c r="R89" s="1196">
        <v>1</v>
      </c>
      <c r="S89" s="925">
        <v>6</v>
      </c>
      <c r="T89" s="925">
        <v>2</v>
      </c>
      <c r="U89" s="1197">
        <v>1000</v>
      </c>
      <c r="V89" s="929">
        <v>45034</v>
      </c>
      <c r="W89" s="923" t="s">
        <v>1338</v>
      </c>
      <c r="X89" s="923" t="s">
        <v>1154</v>
      </c>
      <c r="Y89" s="923" t="s">
        <v>3490</v>
      </c>
      <c r="Z89" s="923"/>
    </row>
    <row r="90" spans="1:26" s="61" customFormat="1" ht="12" customHeight="1">
      <c r="A90" s="21" t="s">
        <v>555</v>
      </c>
      <c r="B90" s="21" t="s">
        <v>556</v>
      </c>
      <c r="C90" s="30">
        <v>40054</v>
      </c>
      <c r="D90" s="30">
        <v>40061</v>
      </c>
      <c r="E90" s="21" t="s">
        <v>557</v>
      </c>
      <c r="F90" s="21"/>
      <c r="G90" s="764">
        <v>30171</v>
      </c>
      <c r="H90" s="21" t="s">
        <v>558</v>
      </c>
      <c r="I90" s="21" t="s">
        <v>18</v>
      </c>
      <c r="J90" s="21" t="s">
        <v>51</v>
      </c>
      <c r="K90" s="21"/>
      <c r="L90" s="21" t="s">
        <v>559</v>
      </c>
      <c r="M90" s="21"/>
      <c r="N90" s="50" t="s">
        <v>469</v>
      </c>
      <c r="O90" s="1013">
        <v>1000</v>
      </c>
      <c r="P90" s="21"/>
      <c r="Q90" s="21">
        <v>2</v>
      </c>
      <c r="R90" s="876">
        <v>1</v>
      </c>
      <c r="S90" s="764">
        <v>2</v>
      </c>
      <c r="T90" s="764"/>
      <c r="U90" s="43">
        <v>250</v>
      </c>
      <c r="V90" s="78"/>
      <c r="W90" s="21"/>
      <c r="X90" s="21"/>
      <c r="Y90" s="21"/>
      <c r="Z90" s="21"/>
    </row>
    <row r="91" spans="1:26" s="61" customFormat="1" ht="12" customHeight="1">
      <c r="A91" s="21" t="s">
        <v>555</v>
      </c>
      <c r="B91" s="21" t="s">
        <v>1251</v>
      </c>
      <c r="C91" s="30">
        <v>41797</v>
      </c>
      <c r="D91" s="30">
        <v>41811</v>
      </c>
      <c r="E91" s="21" t="s">
        <v>1252</v>
      </c>
      <c r="F91" s="21"/>
      <c r="G91" s="764" t="s">
        <v>1253</v>
      </c>
      <c r="H91" s="21" t="s">
        <v>1254</v>
      </c>
      <c r="I91" s="21" t="s">
        <v>18</v>
      </c>
      <c r="J91" s="21" t="s">
        <v>51</v>
      </c>
      <c r="K91" s="21"/>
      <c r="L91" s="21" t="s">
        <v>1255</v>
      </c>
      <c r="M91" s="21"/>
      <c r="N91" s="50" t="s">
        <v>1256</v>
      </c>
      <c r="O91" s="1013">
        <f>1090+1190+70</f>
        <v>2350</v>
      </c>
      <c r="P91" s="21"/>
      <c r="Q91" s="21"/>
      <c r="R91" s="876">
        <v>2</v>
      </c>
      <c r="S91" s="764" t="s">
        <v>1258</v>
      </c>
      <c r="T91" s="764" t="s">
        <v>1257</v>
      </c>
      <c r="U91" s="75">
        <v>570</v>
      </c>
      <c r="V91" s="78">
        <v>41701</v>
      </c>
      <c r="W91" s="21" t="s">
        <v>791</v>
      </c>
      <c r="X91" s="21"/>
      <c r="Y91" s="21"/>
      <c r="Z91" s="21"/>
    </row>
    <row r="92" spans="1:26" s="61" customFormat="1" ht="12" customHeight="1">
      <c r="A92" s="115" t="s">
        <v>1738</v>
      </c>
      <c r="B92" s="115" t="s">
        <v>1739</v>
      </c>
      <c r="C92" s="116">
        <v>42896</v>
      </c>
      <c r="D92" s="116">
        <v>42903</v>
      </c>
      <c r="E92" s="115" t="s">
        <v>1740</v>
      </c>
      <c r="F92" s="115"/>
      <c r="G92" s="361"/>
      <c r="H92" s="115" t="s">
        <v>1741</v>
      </c>
      <c r="I92" s="115" t="s">
        <v>18</v>
      </c>
      <c r="J92" s="115" t="s">
        <v>1023</v>
      </c>
      <c r="K92" s="115"/>
      <c r="L92" s="115" t="s">
        <v>1742</v>
      </c>
      <c r="M92" s="115"/>
      <c r="N92" s="8"/>
      <c r="O92" s="1033">
        <f>1090 + 3*3*7</f>
        <v>1153</v>
      </c>
      <c r="P92" s="115"/>
      <c r="Q92" s="115" t="s">
        <v>1744</v>
      </c>
      <c r="R92" s="682">
        <v>1</v>
      </c>
      <c r="S92" s="361">
        <v>3</v>
      </c>
      <c r="T92" s="361">
        <v>3</v>
      </c>
      <c r="U92" s="859">
        <v>288.25</v>
      </c>
      <c r="V92" s="120"/>
      <c r="W92" s="115" t="s">
        <v>1651</v>
      </c>
      <c r="X92" s="115"/>
      <c r="Y92" s="115"/>
      <c r="Z92" s="115"/>
    </row>
    <row r="93" spans="1:26" s="61" customFormat="1" ht="12" customHeight="1">
      <c r="A93" s="1615" t="s">
        <v>3873</v>
      </c>
      <c r="B93" s="498" t="s">
        <v>1089</v>
      </c>
      <c r="C93" s="499">
        <v>45388</v>
      </c>
      <c r="D93" s="499">
        <v>45395</v>
      </c>
      <c r="E93" s="498" t="s">
        <v>3874</v>
      </c>
      <c r="F93" s="498"/>
      <c r="G93" s="500" t="s">
        <v>1115</v>
      </c>
      <c r="H93" s="498" t="s">
        <v>1116</v>
      </c>
      <c r="I93" s="498" t="s">
        <v>3787</v>
      </c>
      <c r="J93" s="498" t="s">
        <v>51</v>
      </c>
      <c r="K93" s="688"/>
      <c r="L93" s="498" t="s">
        <v>3875</v>
      </c>
      <c r="M93" s="498"/>
      <c r="N93" s="501" t="s">
        <v>3950</v>
      </c>
      <c r="O93" s="1040">
        <f>1190+70+42</f>
        <v>1302</v>
      </c>
      <c r="P93" s="498"/>
      <c r="Q93" s="498" t="s">
        <v>3094</v>
      </c>
      <c r="R93" s="894">
        <v>1</v>
      </c>
      <c r="S93" s="500">
        <v>4</v>
      </c>
      <c r="T93" s="500">
        <v>2</v>
      </c>
      <c r="U93" s="1729">
        <v>350</v>
      </c>
      <c r="V93" s="504">
        <v>45322</v>
      </c>
      <c r="W93" s="498" t="s">
        <v>1769</v>
      </c>
      <c r="X93" s="498" t="s">
        <v>1154</v>
      </c>
      <c r="Y93" s="498"/>
      <c r="Z93" s="498"/>
    </row>
    <row r="94" spans="1:26" s="61" customFormat="1" ht="12" customHeight="1">
      <c r="A94" s="355" t="s">
        <v>2232</v>
      </c>
      <c r="B94" s="355" t="s">
        <v>2233</v>
      </c>
      <c r="C94" s="357">
        <v>43638</v>
      </c>
      <c r="D94" s="357">
        <v>43645</v>
      </c>
      <c r="E94" s="355" t="s">
        <v>2234</v>
      </c>
      <c r="F94" s="355"/>
      <c r="G94" s="358" t="s">
        <v>2235</v>
      </c>
      <c r="H94" s="355" t="s">
        <v>2236</v>
      </c>
      <c r="I94" s="355" t="s">
        <v>18</v>
      </c>
      <c r="J94" s="355" t="s">
        <v>1023</v>
      </c>
      <c r="K94" s="355"/>
      <c r="L94" s="365" t="s">
        <v>2237</v>
      </c>
      <c r="M94" s="355"/>
      <c r="N94" s="365" t="s">
        <v>2238</v>
      </c>
      <c r="O94" s="1036">
        <v>1290</v>
      </c>
      <c r="P94" s="355"/>
      <c r="Q94" s="355">
        <v>1</v>
      </c>
      <c r="R94" s="891">
        <v>1</v>
      </c>
      <c r="S94" s="358">
        <v>2</v>
      </c>
      <c r="T94" s="358">
        <v>1</v>
      </c>
      <c r="U94" s="356" t="s">
        <v>2239</v>
      </c>
      <c r="V94" s="360"/>
      <c r="W94" s="355"/>
      <c r="X94" s="355"/>
      <c r="Y94" s="355"/>
      <c r="Z94" s="355"/>
    </row>
    <row r="95" spans="1:26" s="61" customFormat="1" ht="12" customHeight="1">
      <c r="A95" s="451" t="s">
        <v>2192</v>
      </c>
      <c r="B95" s="451" t="s">
        <v>2193</v>
      </c>
      <c r="C95" s="452">
        <v>43820</v>
      </c>
      <c r="D95" s="452">
        <v>43831</v>
      </c>
      <c r="E95" s="451" t="s">
        <v>2194</v>
      </c>
      <c r="F95" s="451"/>
      <c r="G95" s="453" t="s">
        <v>2195</v>
      </c>
      <c r="H95" s="474" t="s">
        <v>2196</v>
      </c>
      <c r="I95" s="451" t="s">
        <v>18</v>
      </c>
      <c r="J95" s="451" t="s">
        <v>51</v>
      </c>
      <c r="K95" s="475"/>
      <c r="L95" s="475" t="s">
        <v>2197</v>
      </c>
      <c r="M95" s="451"/>
      <c r="N95" s="866" t="s">
        <v>2198</v>
      </c>
      <c r="O95" s="1039"/>
      <c r="P95" s="451"/>
      <c r="Q95" s="451" t="s">
        <v>2023</v>
      </c>
      <c r="R95" s="893"/>
      <c r="S95" s="453">
        <v>2</v>
      </c>
      <c r="T95" s="453">
        <v>2</v>
      </c>
      <c r="U95" s="754"/>
      <c r="V95" s="456">
        <v>43473</v>
      </c>
      <c r="W95" s="451" t="s">
        <v>1769</v>
      </c>
      <c r="X95" s="451" t="s">
        <v>1154</v>
      </c>
      <c r="Y95" s="451"/>
      <c r="Z95" s="451"/>
    </row>
    <row r="96" spans="1:26" s="67" customFormat="1" ht="12" customHeight="1">
      <c r="A96" s="21" t="s">
        <v>1363</v>
      </c>
      <c r="B96" s="21" t="s">
        <v>1364</v>
      </c>
      <c r="C96" s="30">
        <v>42049</v>
      </c>
      <c r="D96" s="30">
        <v>42056</v>
      </c>
      <c r="E96" s="21" t="s">
        <v>1365</v>
      </c>
      <c r="F96" s="21"/>
      <c r="G96" s="764" t="s">
        <v>1366</v>
      </c>
      <c r="H96" s="21" t="s">
        <v>1367</v>
      </c>
      <c r="I96" s="21" t="s">
        <v>18</v>
      </c>
      <c r="J96" s="21" t="s">
        <v>51</v>
      </c>
      <c r="K96" s="21"/>
      <c r="L96" s="21" t="s">
        <v>1368</v>
      </c>
      <c r="M96" s="21"/>
      <c r="N96" s="50" t="s">
        <v>1369</v>
      </c>
      <c r="O96" s="1013">
        <f>690+21+30</f>
        <v>741</v>
      </c>
      <c r="P96" s="21"/>
      <c r="Q96" s="21"/>
      <c r="R96" s="876">
        <v>1</v>
      </c>
      <c r="S96" s="764" t="s">
        <v>1410</v>
      </c>
      <c r="T96" s="764">
        <v>1</v>
      </c>
      <c r="U96" s="75">
        <v>200</v>
      </c>
      <c r="V96" s="78">
        <v>42009</v>
      </c>
      <c r="W96" s="21"/>
      <c r="X96" s="21" t="s">
        <v>1154</v>
      </c>
      <c r="Y96" s="21"/>
      <c r="Z96" s="21"/>
    </row>
    <row r="97" spans="1:26" s="61" customFormat="1" ht="12" customHeight="1">
      <c r="A97" s="355" t="s">
        <v>3482</v>
      </c>
      <c r="B97" s="115" t="s">
        <v>2366</v>
      </c>
      <c r="C97" s="116">
        <v>45031</v>
      </c>
      <c r="D97" s="116">
        <v>45045</v>
      </c>
      <c r="E97" s="115" t="s">
        <v>2367</v>
      </c>
      <c r="F97" s="115"/>
      <c r="G97" s="361" t="s">
        <v>2368</v>
      </c>
      <c r="H97" s="115" t="s">
        <v>2369</v>
      </c>
      <c r="I97" s="115" t="s">
        <v>18</v>
      </c>
      <c r="J97" s="115" t="s">
        <v>51</v>
      </c>
      <c r="K97" s="115"/>
      <c r="L97" s="124" t="s">
        <v>2370</v>
      </c>
      <c r="M97" s="115"/>
      <c r="N97" s="121" t="s">
        <v>2371</v>
      </c>
      <c r="O97" s="118">
        <f>1190+1290</f>
        <v>2480</v>
      </c>
      <c r="P97" s="115"/>
      <c r="Q97" s="115" t="s">
        <v>1025</v>
      </c>
      <c r="R97" s="361">
        <v>2</v>
      </c>
      <c r="S97" s="361">
        <v>2</v>
      </c>
      <c r="T97" s="361">
        <v>1</v>
      </c>
      <c r="U97" s="1737" t="s">
        <v>3426</v>
      </c>
      <c r="V97" s="120">
        <v>44941</v>
      </c>
      <c r="W97" s="115" t="s">
        <v>3410</v>
      </c>
      <c r="X97" s="115" t="s">
        <v>1154</v>
      </c>
      <c r="Y97" s="115"/>
      <c r="Z97" s="115"/>
    </row>
    <row r="98" spans="1:26" s="61" customFormat="1" ht="12" customHeight="1">
      <c r="A98" s="21" t="s">
        <v>1294</v>
      </c>
      <c r="B98" s="21" t="s">
        <v>1293</v>
      </c>
      <c r="C98" s="30">
        <v>41951</v>
      </c>
      <c r="D98" s="30">
        <v>41866</v>
      </c>
      <c r="E98" s="21" t="s">
        <v>1295</v>
      </c>
      <c r="F98" s="21"/>
      <c r="G98" s="764" t="s">
        <v>1296</v>
      </c>
      <c r="H98" s="21" t="s">
        <v>1297</v>
      </c>
      <c r="I98" s="21" t="s">
        <v>168</v>
      </c>
      <c r="J98" s="21" t="s">
        <v>51</v>
      </c>
      <c r="K98" s="21"/>
      <c r="L98" s="21" t="s">
        <v>1298</v>
      </c>
      <c r="M98" s="21"/>
      <c r="N98" s="50"/>
      <c r="O98" s="1013">
        <f>790+60</f>
        <v>850</v>
      </c>
      <c r="P98" s="21"/>
      <c r="Q98" s="21" t="s">
        <v>1300</v>
      </c>
      <c r="R98" s="876">
        <v>1</v>
      </c>
      <c r="S98" s="764">
        <v>2</v>
      </c>
      <c r="T98" s="764">
        <v>3</v>
      </c>
      <c r="U98" s="75"/>
      <c r="V98" s="78">
        <v>41917</v>
      </c>
      <c r="W98" s="21" t="s">
        <v>1301</v>
      </c>
      <c r="X98" s="21" t="s">
        <v>1154</v>
      </c>
      <c r="Y98" s="21"/>
      <c r="Z98" s="21"/>
    </row>
    <row r="99" spans="1:26" s="61" customFormat="1" ht="12" customHeight="1">
      <c r="A99" s="21" t="s">
        <v>1305</v>
      </c>
      <c r="B99" s="21" t="s">
        <v>857</v>
      </c>
      <c r="C99" s="30">
        <v>42147</v>
      </c>
      <c r="D99" s="30">
        <v>42154</v>
      </c>
      <c r="E99" s="21" t="s">
        <v>1306</v>
      </c>
      <c r="F99" s="21"/>
      <c r="G99" s="764" t="s">
        <v>1307</v>
      </c>
      <c r="H99" s="21" t="s">
        <v>1308</v>
      </c>
      <c r="I99" s="21" t="s">
        <v>18</v>
      </c>
      <c r="J99" s="21" t="s">
        <v>51</v>
      </c>
      <c r="K99" s="21" t="s">
        <v>1309</v>
      </c>
      <c r="L99" s="21" t="s">
        <v>1310</v>
      </c>
      <c r="M99" s="21"/>
      <c r="N99" s="50" t="s">
        <v>1311</v>
      </c>
      <c r="O99" s="1013">
        <f>890+21</f>
        <v>911</v>
      </c>
      <c r="P99" s="21"/>
      <c r="Q99" s="21" t="s">
        <v>1426</v>
      </c>
      <c r="R99" s="876">
        <v>1</v>
      </c>
      <c r="S99" s="764" t="s">
        <v>1312</v>
      </c>
      <c r="T99" s="764">
        <v>1</v>
      </c>
      <c r="U99" s="75">
        <f>890/4</f>
        <v>222.5</v>
      </c>
      <c r="V99" s="78">
        <v>41924</v>
      </c>
      <c r="W99" s="21" t="s">
        <v>791</v>
      </c>
      <c r="X99" s="21" t="s">
        <v>1154</v>
      </c>
      <c r="Y99" s="21"/>
      <c r="Z99" s="21"/>
    </row>
    <row r="100" spans="1:26" s="61" customFormat="1" ht="12" customHeight="1">
      <c r="A100" s="115" t="s">
        <v>1851</v>
      </c>
      <c r="B100" s="115" t="s">
        <v>1842</v>
      </c>
      <c r="C100" s="116">
        <v>43218</v>
      </c>
      <c r="D100" s="116">
        <v>43225</v>
      </c>
      <c r="E100" s="115" t="s">
        <v>1843</v>
      </c>
      <c r="F100" s="115"/>
      <c r="G100" s="361" t="s">
        <v>1844</v>
      </c>
      <c r="H100" s="364" t="s">
        <v>1845</v>
      </c>
      <c r="I100" s="115" t="s">
        <v>18</v>
      </c>
      <c r="J100" s="115" t="s">
        <v>51</v>
      </c>
      <c r="K100" s="115" t="s">
        <v>1846</v>
      </c>
      <c r="L100" s="124" t="s">
        <v>1847</v>
      </c>
      <c r="M100" s="115"/>
      <c r="N100" s="128" t="s">
        <v>1848</v>
      </c>
      <c r="O100" s="1027">
        <f>790+21+70</f>
        <v>881</v>
      </c>
      <c r="P100" s="115"/>
      <c r="Q100" s="115" t="s">
        <v>1849</v>
      </c>
      <c r="R100" s="682">
        <v>1</v>
      </c>
      <c r="S100" s="361">
        <v>2</v>
      </c>
      <c r="T100" s="361">
        <v>1</v>
      </c>
      <c r="U100" s="119">
        <v>200</v>
      </c>
      <c r="V100" s="120">
        <v>43050</v>
      </c>
      <c r="W100" s="115" t="s">
        <v>1850</v>
      </c>
      <c r="X100" s="115" t="s">
        <v>1154</v>
      </c>
      <c r="Y100" s="115"/>
      <c r="Z100" s="115"/>
    </row>
    <row r="101" spans="1:26" s="21" customFormat="1" ht="12" customHeight="1">
      <c r="A101" s="115" t="s">
        <v>1658</v>
      </c>
      <c r="B101" s="115" t="s">
        <v>1659</v>
      </c>
      <c r="C101" s="116">
        <v>42882</v>
      </c>
      <c r="D101" s="116">
        <v>42889</v>
      </c>
      <c r="E101" s="115" t="s">
        <v>1660</v>
      </c>
      <c r="F101" s="115"/>
      <c r="G101" s="361" t="s">
        <v>1661</v>
      </c>
      <c r="H101" s="115" t="s">
        <v>18</v>
      </c>
      <c r="I101" s="115" t="s">
        <v>1662</v>
      </c>
      <c r="J101" s="115" t="s">
        <v>51</v>
      </c>
      <c r="K101" s="115" t="s">
        <v>1663</v>
      </c>
      <c r="L101" s="115" t="s">
        <v>1664</v>
      </c>
      <c r="M101" s="115"/>
      <c r="N101" s="128" t="s">
        <v>1761</v>
      </c>
      <c r="O101" s="1027">
        <v>1090</v>
      </c>
      <c r="P101" s="115"/>
      <c r="Q101" s="115"/>
      <c r="R101" s="682">
        <v>1</v>
      </c>
      <c r="S101" s="361">
        <v>2</v>
      </c>
      <c r="T101" s="361">
        <v>1</v>
      </c>
      <c r="U101" s="119">
        <v>272.5</v>
      </c>
      <c r="V101" s="120">
        <v>42750</v>
      </c>
      <c r="W101" s="115" t="s">
        <v>1665</v>
      </c>
      <c r="X101" s="115"/>
      <c r="Y101" s="115"/>
      <c r="Z101" s="115"/>
    </row>
    <row r="102" spans="1:26" s="21" customFormat="1" ht="12" customHeight="1">
      <c r="A102" s="21" t="s">
        <v>785</v>
      </c>
      <c r="B102" s="21" t="s">
        <v>830</v>
      </c>
      <c r="C102" s="30">
        <v>41062</v>
      </c>
      <c r="D102" s="30">
        <v>41083</v>
      </c>
      <c r="G102" s="764" t="s">
        <v>787</v>
      </c>
      <c r="H102" s="21" t="s">
        <v>788</v>
      </c>
      <c r="I102" s="21" t="s">
        <v>18</v>
      </c>
      <c r="J102" s="21" t="s">
        <v>51</v>
      </c>
      <c r="K102" s="21" t="s">
        <v>789</v>
      </c>
      <c r="L102" s="21" t="s">
        <v>790</v>
      </c>
      <c r="N102" s="50" t="s">
        <v>786</v>
      </c>
      <c r="O102" s="1013">
        <f>890+1090+1190+3*2*21</f>
        <v>3296</v>
      </c>
      <c r="Q102" s="21" t="s">
        <v>791</v>
      </c>
      <c r="R102" s="876">
        <v>3</v>
      </c>
      <c r="S102" s="764">
        <v>3</v>
      </c>
      <c r="T102" s="764">
        <v>2</v>
      </c>
      <c r="U102" s="75">
        <v>792.5</v>
      </c>
      <c r="V102" s="78"/>
      <c r="W102" s="21" t="s">
        <v>791</v>
      </c>
    </row>
    <row r="103" spans="1:26" s="21" customFormat="1" ht="12" customHeight="1">
      <c r="A103" s="820" t="s">
        <v>3455</v>
      </c>
      <c r="B103" s="820" t="s">
        <v>3454</v>
      </c>
      <c r="C103" s="821">
        <v>45220</v>
      </c>
      <c r="D103" s="821">
        <v>45227</v>
      </c>
      <c r="E103" s="820" t="s">
        <v>3456</v>
      </c>
      <c r="F103" s="820"/>
      <c r="G103" s="822" t="s">
        <v>3457</v>
      </c>
      <c r="H103" s="820" t="s">
        <v>3458</v>
      </c>
      <c r="I103" s="820" t="s">
        <v>944</v>
      </c>
      <c r="J103" s="820" t="s">
        <v>51</v>
      </c>
      <c r="K103" s="820"/>
      <c r="L103" s="1479" t="s">
        <v>3459</v>
      </c>
      <c r="M103" s="820"/>
      <c r="N103" s="1458" t="s">
        <v>3644</v>
      </c>
      <c r="O103" s="1026">
        <f>323+970</f>
        <v>1293</v>
      </c>
      <c r="P103" s="820"/>
      <c r="Q103" s="820" t="s">
        <v>3460</v>
      </c>
      <c r="R103" s="885">
        <v>1</v>
      </c>
      <c r="S103" s="822">
        <v>3</v>
      </c>
      <c r="T103" s="822">
        <v>2</v>
      </c>
      <c r="U103" s="1731">
        <v>323</v>
      </c>
      <c r="V103" s="825">
        <v>44995</v>
      </c>
      <c r="W103" s="820"/>
      <c r="X103" s="820" t="s">
        <v>1154</v>
      </c>
      <c r="Y103" s="820"/>
      <c r="Z103" s="820"/>
    </row>
    <row r="104" spans="1:26" s="21" customFormat="1" ht="12" customHeight="1">
      <c r="A104" s="355" t="s">
        <v>2355</v>
      </c>
      <c r="B104" s="355" t="s">
        <v>2356</v>
      </c>
      <c r="C104" s="357">
        <v>43708</v>
      </c>
      <c r="D104" s="357">
        <v>43715</v>
      </c>
      <c r="E104" s="355" t="s">
        <v>2357</v>
      </c>
      <c r="F104" s="355"/>
      <c r="G104" s="358" t="s">
        <v>2358</v>
      </c>
      <c r="H104" s="355" t="s">
        <v>2359</v>
      </c>
      <c r="I104" s="355" t="s">
        <v>18</v>
      </c>
      <c r="J104" s="355" t="s">
        <v>1023</v>
      </c>
      <c r="K104" s="355"/>
      <c r="L104" s="355" t="s">
        <v>2360</v>
      </c>
      <c r="M104" s="355"/>
      <c r="N104" s="365" t="s">
        <v>2361</v>
      </c>
      <c r="O104" s="1036">
        <f>1100+70+63</f>
        <v>1233</v>
      </c>
      <c r="P104" s="355"/>
      <c r="Q104" s="355" t="s">
        <v>2362</v>
      </c>
      <c r="R104" s="891">
        <v>1</v>
      </c>
      <c r="S104" s="358">
        <v>2</v>
      </c>
      <c r="T104" s="358">
        <v>3</v>
      </c>
      <c r="U104" s="356" t="s">
        <v>1154</v>
      </c>
      <c r="V104" s="360">
        <v>43703</v>
      </c>
      <c r="W104" s="355" t="s">
        <v>1477</v>
      </c>
      <c r="X104" s="355"/>
      <c r="Y104" s="355"/>
      <c r="Z104" s="355"/>
    </row>
    <row r="105" spans="1:26" s="21" customFormat="1" ht="12" customHeight="1">
      <c r="A105" s="1635" t="s">
        <v>3401</v>
      </c>
      <c r="B105" s="1431" t="s">
        <v>3402</v>
      </c>
      <c r="C105" s="1432">
        <v>45122</v>
      </c>
      <c r="D105" s="1432">
        <v>45129</v>
      </c>
      <c r="E105" s="1431"/>
      <c r="F105" s="1431"/>
      <c r="G105" s="1433"/>
      <c r="H105" s="1431"/>
      <c r="I105" s="1431" t="s">
        <v>18</v>
      </c>
      <c r="J105" s="1431" t="s">
        <v>51</v>
      </c>
      <c r="K105" s="1434"/>
      <c r="L105" s="1431" t="s">
        <v>3403</v>
      </c>
      <c r="M105" s="1431"/>
      <c r="N105" s="1240" t="s">
        <v>3404</v>
      </c>
      <c r="O105" s="1435"/>
      <c r="P105" s="1431"/>
      <c r="Q105" s="1431" t="s">
        <v>3405</v>
      </c>
      <c r="R105" s="1436"/>
      <c r="S105" s="1433">
        <v>3</v>
      </c>
      <c r="T105" s="1433">
        <v>1</v>
      </c>
      <c r="U105" s="1437"/>
      <c r="V105" s="1606" t="s">
        <v>3406</v>
      </c>
      <c r="W105" s="1431" t="s">
        <v>1338</v>
      </c>
      <c r="X105" s="1431" t="s">
        <v>1154</v>
      </c>
      <c r="Y105" s="1431"/>
      <c r="Z105" s="1431"/>
    </row>
    <row r="106" spans="1:26" s="21" customFormat="1" ht="12" customHeight="1">
      <c r="A106" s="408" t="s">
        <v>2406</v>
      </c>
      <c r="B106" s="408" t="s">
        <v>2407</v>
      </c>
      <c r="C106" s="409">
        <v>44086</v>
      </c>
      <c r="D106" s="409">
        <v>44100</v>
      </c>
      <c r="E106" s="408" t="s">
        <v>2408</v>
      </c>
      <c r="F106" s="408"/>
      <c r="G106" s="410" t="s">
        <v>2409</v>
      </c>
      <c r="H106" s="408" t="s">
        <v>2410</v>
      </c>
      <c r="I106" s="408" t="s">
        <v>18</v>
      </c>
      <c r="J106" s="408" t="s">
        <v>51</v>
      </c>
      <c r="K106" s="408" t="s">
        <v>2412</v>
      </c>
      <c r="L106" s="408" t="s">
        <v>2413</v>
      </c>
      <c r="M106" s="408"/>
      <c r="N106" s="850" t="s">
        <v>2414</v>
      </c>
      <c r="O106" s="1031">
        <f>720+800</f>
        <v>1520</v>
      </c>
      <c r="P106" s="408"/>
      <c r="Q106" s="408" t="s">
        <v>2415</v>
      </c>
      <c r="R106" s="889"/>
      <c r="S106" s="410" t="s">
        <v>674</v>
      </c>
      <c r="T106" s="410">
        <v>3</v>
      </c>
      <c r="U106" s="596">
        <v>720</v>
      </c>
      <c r="V106" s="416">
        <v>43809</v>
      </c>
      <c r="W106" s="408" t="s">
        <v>1477</v>
      </c>
      <c r="X106" s="408" t="s">
        <v>1154</v>
      </c>
      <c r="Y106" s="408"/>
      <c r="Z106" s="408"/>
    </row>
    <row r="107" spans="1:26" s="67" customFormat="1" ht="12" customHeight="1">
      <c r="A107" s="355" t="s">
        <v>2406</v>
      </c>
      <c r="B107" s="355" t="s">
        <v>2407</v>
      </c>
      <c r="C107" s="357">
        <v>44364</v>
      </c>
      <c r="D107" s="357">
        <v>44373</v>
      </c>
      <c r="E107" s="355" t="s">
        <v>2408</v>
      </c>
      <c r="F107" s="355"/>
      <c r="G107" s="358" t="s">
        <v>2409</v>
      </c>
      <c r="H107" s="355" t="s">
        <v>2410</v>
      </c>
      <c r="I107" s="355" t="s">
        <v>18</v>
      </c>
      <c r="J107" s="355" t="s">
        <v>51</v>
      </c>
      <c r="K107" s="355" t="s">
        <v>2412</v>
      </c>
      <c r="L107" s="355" t="s">
        <v>2413</v>
      </c>
      <c r="M107" s="355"/>
      <c r="N107" s="365" t="s">
        <v>2414</v>
      </c>
      <c r="O107" s="1036">
        <v>1300</v>
      </c>
      <c r="P107" s="355"/>
      <c r="Q107" s="355" t="s">
        <v>2415</v>
      </c>
      <c r="R107" s="891">
        <v>1</v>
      </c>
      <c r="S107" s="358" t="s">
        <v>674</v>
      </c>
      <c r="T107" s="358">
        <v>3</v>
      </c>
      <c r="U107" s="417">
        <v>720</v>
      </c>
      <c r="V107" s="360">
        <v>43809</v>
      </c>
      <c r="W107" s="355" t="s">
        <v>1477</v>
      </c>
      <c r="X107" s="355" t="s">
        <v>1154</v>
      </c>
      <c r="Y107" s="355"/>
      <c r="Z107" s="355"/>
    </row>
    <row r="108" spans="1:26" s="21" customFormat="1" ht="12" customHeight="1">
      <c r="A108" s="355" t="s">
        <v>2406</v>
      </c>
      <c r="B108" s="355" t="s">
        <v>2407</v>
      </c>
      <c r="C108" s="357">
        <v>44821</v>
      </c>
      <c r="D108" s="357">
        <v>44835</v>
      </c>
      <c r="E108" s="355" t="s">
        <v>2408</v>
      </c>
      <c r="F108" s="355"/>
      <c r="G108" s="358" t="s">
        <v>2409</v>
      </c>
      <c r="H108" s="355" t="s">
        <v>2410</v>
      </c>
      <c r="I108" s="355" t="s">
        <v>18</v>
      </c>
      <c r="J108" s="355" t="s">
        <v>51</v>
      </c>
      <c r="K108" s="355" t="s">
        <v>2412</v>
      </c>
      <c r="L108" s="355" t="s">
        <v>2413</v>
      </c>
      <c r="M108" s="355"/>
      <c r="N108" s="401" t="s">
        <v>2414</v>
      </c>
      <c r="O108" s="1036">
        <f>2580+70+3*3*14</f>
        <v>2776</v>
      </c>
      <c r="P108" s="355"/>
      <c r="Q108" s="355" t="s">
        <v>3330</v>
      </c>
      <c r="R108" s="891">
        <v>2</v>
      </c>
      <c r="S108" s="358">
        <v>2</v>
      </c>
      <c r="T108" s="358">
        <v>3</v>
      </c>
      <c r="U108" s="417">
        <v>645</v>
      </c>
      <c r="V108" s="360">
        <v>44410</v>
      </c>
      <c r="W108" s="355" t="s">
        <v>3015</v>
      </c>
      <c r="X108" s="355" t="s">
        <v>1154</v>
      </c>
      <c r="Y108" s="355"/>
      <c r="Z108" s="355"/>
    </row>
    <row r="109" spans="1:26" ht="12" customHeight="1" thickBot="1">
      <c r="A109" s="820" t="s">
        <v>2406</v>
      </c>
      <c r="B109" s="820" t="s">
        <v>2407</v>
      </c>
      <c r="C109" s="821">
        <v>45290</v>
      </c>
      <c r="D109" s="821">
        <v>44932</v>
      </c>
      <c r="E109" s="820" t="s">
        <v>2408</v>
      </c>
      <c r="F109" s="820"/>
      <c r="G109" s="822" t="s">
        <v>2409</v>
      </c>
      <c r="H109" s="820" t="s">
        <v>2410</v>
      </c>
      <c r="I109" s="820" t="s">
        <v>18</v>
      </c>
      <c r="J109" s="820" t="s">
        <v>51</v>
      </c>
      <c r="K109" s="820" t="s">
        <v>2412</v>
      </c>
      <c r="L109" s="820" t="s">
        <v>2413</v>
      </c>
      <c r="M109" s="820"/>
      <c r="N109" s="1458" t="s">
        <v>2414</v>
      </c>
      <c r="O109" s="1026">
        <f>1290+184+70+72</f>
        <v>1616</v>
      </c>
      <c r="P109" s="820"/>
      <c r="Q109" s="820" t="s">
        <v>3330</v>
      </c>
      <c r="R109" s="885">
        <v>1</v>
      </c>
      <c r="S109" s="822">
        <v>2</v>
      </c>
      <c r="T109" s="822">
        <v>3</v>
      </c>
      <c r="U109" s="1459">
        <f>1290/4</f>
        <v>322.5</v>
      </c>
      <c r="V109" s="825">
        <v>44923</v>
      </c>
      <c r="W109" s="820" t="s">
        <v>3328</v>
      </c>
      <c r="X109" s="820" t="s">
        <v>1154</v>
      </c>
      <c r="Y109" s="820" t="s">
        <v>3396</v>
      </c>
      <c r="Z109" s="820"/>
    </row>
    <row r="110" spans="1:26" ht="12" customHeight="1" thickBot="1">
      <c r="A110" s="517" t="s">
        <v>2406</v>
      </c>
      <c r="B110" s="539" t="s">
        <v>2407</v>
      </c>
      <c r="C110" s="116">
        <v>45535</v>
      </c>
      <c r="D110" s="651">
        <v>45549</v>
      </c>
      <c r="E110" s="539" t="s">
        <v>2408</v>
      </c>
      <c r="F110" s="115"/>
      <c r="G110" s="361" t="s">
        <v>2409</v>
      </c>
      <c r="H110" s="115" t="s">
        <v>2410</v>
      </c>
      <c r="I110" s="115" t="s">
        <v>18</v>
      </c>
      <c r="J110" s="115" t="s">
        <v>51</v>
      </c>
      <c r="K110" s="115" t="s">
        <v>2412</v>
      </c>
      <c r="L110" s="115" t="s">
        <v>2413</v>
      </c>
      <c r="M110" s="115"/>
      <c r="N110" s="121" t="s">
        <v>2414</v>
      </c>
      <c r="O110" s="1027">
        <f>2190+2090</f>
        <v>4280</v>
      </c>
      <c r="P110" s="115"/>
      <c r="Q110" s="115" t="s">
        <v>3521</v>
      </c>
      <c r="R110" s="682">
        <v>2</v>
      </c>
      <c r="S110" s="361">
        <v>2</v>
      </c>
      <c r="T110" s="361">
        <v>3</v>
      </c>
      <c r="U110" s="129">
        <v>1070</v>
      </c>
      <c r="V110" s="120">
        <v>45081</v>
      </c>
      <c r="W110" s="115" t="s">
        <v>3522</v>
      </c>
      <c r="X110" s="115" t="s">
        <v>1154</v>
      </c>
      <c r="Y110" s="115" t="s">
        <v>3523</v>
      </c>
      <c r="Z110" s="115"/>
    </row>
    <row r="111" spans="1:26" ht="12" customHeight="1" thickBot="1">
      <c r="A111" s="56" t="s">
        <v>1194</v>
      </c>
      <c r="B111" s="1271" t="s">
        <v>1193</v>
      </c>
      <c r="C111" s="1293">
        <v>41741</v>
      </c>
      <c r="D111" s="1310">
        <v>41755</v>
      </c>
      <c r="E111" s="1331" t="s">
        <v>1195</v>
      </c>
      <c r="F111" s="21"/>
      <c r="G111" s="764" t="s">
        <v>1196</v>
      </c>
      <c r="H111" s="21" t="s">
        <v>1197</v>
      </c>
      <c r="I111" s="21" t="s">
        <v>18</v>
      </c>
      <c r="J111" s="21" t="s">
        <v>51</v>
      </c>
      <c r="K111" s="21" t="s">
        <v>1198</v>
      </c>
      <c r="L111" s="21" t="s">
        <v>1199</v>
      </c>
      <c r="M111" s="21"/>
      <c r="N111" s="50"/>
      <c r="O111" s="1013">
        <f>790+790</f>
        <v>1580</v>
      </c>
      <c r="P111" s="21"/>
      <c r="Q111" s="21" t="s">
        <v>1201</v>
      </c>
      <c r="R111" s="876">
        <v>2</v>
      </c>
      <c r="S111" s="764" t="s">
        <v>1202</v>
      </c>
      <c r="T111" s="764">
        <v>0</v>
      </c>
      <c r="U111" s="1367">
        <f>1580/4</f>
        <v>395</v>
      </c>
      <c r="V111" s="78">
        <v>41603</v>
      </c>
      <c r="W111" s="21" t="s">
        <v>791</v>
      </c>
      <c r="X111" s="21" t="s">
        <v>1154</v>
      </c>
      <c r="Y111" s="21"/>
      <c r="Z111" s="21"/>
    </row>
    <row r="112" spans="1:26" ht="12" customHeight="1" thickBot="1">
      <c r="A112" s="1250" t="s">
        <v>3876</v>
      </c>
      <c r="B112" s="923" t="s">
        <v>693</v>
      </c>
      <c r="C112" s="924">
        <v>45493</v>
      </c>
      <c r="D112" s="1404">
        <v>45500</v>
      </c>
      <c r="E112" s="1409" t="s">
        <v>3877</v>
      </c>
      <c r="F112" s="923"/>
      <c r="G112" s="925" t="s">
        <v>3878</v>
      </c>
      <c r="H112" s="923" t="s">
        <v>3879</v>
      </c>
      <c r="I112" s="923" t="s">
        <v>168</v>
      </c>
      <c r="J112" s="923" t="s">
        <v>51</v>
      </c>
      <c r="K112" s="926"/>
      <c r="L112" s="923" t="s">
        <v>3880</v>
      </c>
      <c r="M112" s="923"/>
      <c r="N112" s="121" t="s">
        <v>3881</v>
      </c>
      <c r="O112" s="1195">
        <f>2490</f>
        <v>2490</v>
      </c>
      <c r="P112" s="923"/>
      <c r="Q112" s="923" t="s">
        <v>3882</v>
      </c>
      <c r="R112" s="1196">
        <v>1</v>
      </c>
      <c r="S112" s="925">
        <v>5</v>
      </c>
      <c r="T112" s="925">
        <v>1</v>
      </c>
      <c r="U112" s="1728" t="s">
        <v>3883</v>
      </c>
      <c r="V112" s="929">
        <v>45324</v>
      </c>
      <c r="W112" s="923" t="s">
        <v>1813</v>
      </c>
      <c r="X112" s="923" t="s">
        <v>1154</v>
      </c>
      <c r="Y112" s="923"/>
      <c r="Z112" s="923"/>
    </row>
    <row r="113" spans="1:26" ht="12" customHeight="1" thickBot="1">
      <c r="A113" s="717" t="s">
        <v>1753</v>
      </c>
      <c r="B113" s="729" t="s">
        <v>297</v>
      </c>
      <c r="C113" s="116">
        <v>42973</v>
      </c>
      <c r="D113" s="561">
        <v>42980</v>
      </c>
      <c r="E113" s="543" t="s">
        <v>1754</v>
      </c>
      <c r="F113" s="115"/>
      <c r="G113" s="361" t="s">
        <v>1755</v>
      </c>
      <c r="H113" s="115" t="s">
        <v>1756</v>
      </c>
      <c r="I113" s="115" t="s">
        <v>884</v>
      </c>
      <c r="J113" s="115" t="s">
        <v>51</v>
      </c>
      <c r="K113" s="115"/>
      <c r="L113" s="115" t="s">
        <v>1757</v>
      </c>
      <c r="M113" s="115"/>
      <c r="N113" s="128" t="s">
        <v>1758</v>
      </c>
      <c r="O113" s="1027">
        <f>1590 +70</f>
        <v>1660</v>
      </c>
      <c r="P113" s="115"/>
      <c r="Q113" s="115" t="s">
        <v>1759</v>
      </c>
      <c r="R113" s="682">
        <v>1</v>
      </c>
      <c r="S113" s="361">
        <v>4</v>
      </c>
      <c r="T113" s="361">
        <v>0</v>
      </c>
      <c r="U113" s="598">
        <v>397.5</v>
      </c>
      <c r="V113" s="120">
        <v>42862</v>
      </c>
      <c r="W113" s="115" t="s">
        <v>1760</v>
      </c>
      <c r="X113" s="115" t="s">
        <v>1154</v>
      </c>
      <c r="Y113" s="115"/>
      <c r="Z113" s="115"/>
    </row>
    <row r="114" spans="1:26" ht="12" customHeight="1" thickBot="1">
      <c r="A114" s="21" t="s">
        <v>1260</v>
      </c>
      <c r="B114" s="21" t="s">
        <v>1259</v>
      </c>
      <c r="C114" s="30">
        <v>41853</v>
      </c>
      <c r="D114" s="1310">
        <v>41867</v>
      </c>
      <c r="E114" s="1331" t="s">
        <v>1261</v>
      </c>
      <c r="F114" s="21"/>
      <c r="G114" s="764" t="s">
        <v>670</v>
      </c>
      <c r="H114" s="21" t="s">
        <v>1262</v>
      </c>
      <c r="I114" s="21" t="s">
        <v>18</v>
      </c>
      <c r="J114" s="21" t="s">
        <v>51</v>
      </c>
      <c r="K114" s="21"/>
      <c r="L114" s="21" t="s">
        <v>1263</v>
      </c>
      <c r="M114" s="21"/>
      <c r="N114" s="50" t="s">
        <v>1264</v>
      </c>
      <c r="O114" s="1013">
        <f>1990+1990+70+42</f>
        <v>4092</v>
      </c>
      <c r="P114" s="21"/>
      <c r="Q114" s="21" t="s">
        <v>1265</v>
      </c>
      <c r="R114" s="876">
        <v>2</v>
      </c>
      <c r="S114" s="764" t="s">
        <v>1266</v>
      </c>
      <c r="T114" s="764">
        <v>1</v>
      </c>
      <c r="U114" s="1367">
        <f>1000</f>
        <v>1000</v>
      </c>
      <c r="V114" s="78">
        <v>41701</v>
      </c>
      <c r="W114" s="21" t="s">
        <v>791</v>
      </c>
      <c r="X114" s="21"/>
      <c r="Y114" s="21"/>
      <c r="Z114" s="21"/>
    </row>
    <row r="115" spans="1:26" ht="12" customHeight="1" thickBot="1">
      <c r="A115" s="1636" t="s">
        <v>3491</v>
      </c>
      <c r="B115" s="1658" t="s">
        <v>3492</v>
      </c>
      <c r="C115" s="1004">
        <v>45423</v>
      </c>
      <c r="D115" s="1688">
        <v>45437</v>
      </c>
      <c r="E115" s="1698" t="s">
        <v>3493</v>
      </c>
      <c r="F115" s="1003"/>
      <c r="G115" s="1005" t="s">
        <v>3494</v>
      </c>
      <c r="H115" s="1003" t="s">
        <v>3495</v>
      </c>
      <c r="I115" s="1003" t="s">
        <v>18</v>
      </c>
      <c r="J115" s="1003" t="s">
        <v>51</v>
      </c>
      <c r="K115" s="1003" t="s">
        <v>3496</v>
      </c>
      <c r="L115" s="1003" t="s">
        <v>3497</v>
      </c>
      <c r="M115" s="1003"/>
      <c r="N115" s="1429" t="s">
        <v>3498</v>
      </c>
      <c r="O115" s="1192">
        <v>0</v>
      </c>
      <c r="P115" s="1003"/>
      <c r="Q115" s="1003" t="s">
        <v>3963</v>
      </c>
      <c r="R115" s="1193">
        <v>2</v>
      </c>
      <c r="S115" s="1005">
        <v>2</v>
      </c>
      <c r="T115" s="1005">
        <v>1</v>
      </c>
      <c r="U115" s="1009">
        <v>695</v>
      </c>
      <c r="V115" s="1010">
        <v>45050</v>
      </c>
      <c r="W115" s="1003" t="s">
        <v>1813</v>
      </c>
      <c r="X115" s="1003" t="s">
        <v>1154</v>
      </c>
      <c r="Y115" s="1003" t="s">
        <v>3516</v>
      </c>
      <c r="Z115" s="1003"/>
    </row>
    <row r="116" spans="1:26" ht="12" customHeight="1" thickBot="1">
      <c r="A116" s="511" t="s">
        <v>1771</v>
      </c>
      <c r="B116" s="535" t="s">
        <v>1772</v>
      </c>
      <c r="C116" s="116">
        <v>43002</v>
      </c>
      <c r="D116" s="568">
        <v>43008</v>
      </c>
      <c r="E116" s="535" t="s">
        <v>1773</v>
      </c>
      <c r="F116" s="115"/>
      <c r="G116" s="361"/>
      <c r="H116" s="115" t="s">
        <v>1774</v>
      </c>
      <c r="I116" s="115" t="s">
        <v>1775</v>
      </c>
      <c r="J116" s="115" t="s">
        <v>51</v>
      </c>
      <c r="K116" s="115"/>
      <c r="L116" s="115" t="s">
        <v>1776</v>
      </c>
      <c r="M116" s="115"/>
      <c r="N116" s="128" t="s">
        <v>1777</v>
      </c>
      <c r="O116" s="1027">
        <v>990</v>
      </c>
      <c r="P116" s="115"/>
      <c r="Q116" s="115" t="s">
        <v>1025</v>
      </c>
      <c r="R116" s="682">
        <v>1</v>
      </c>
      <c r="S116" s="361">
        <v>2</v>
      </c>
      <c r="T116" s="361">
        <v>1</v>
      </c>
      <c r="U116" s="598">
        <v>250</v>
      </c>
      <c r="V116" s="120"/>
      <c r="W116" s="115" t="s">
        <v>1477</v>
      </c>
      <c r="X116" s="115"/>
      <c r="Y116" s="115"/>
      <c r="Z116" s="115"/>
    </row>
    <row r="117" spans="1:26" ht="12" customHeight="1">
      <c r="A117" s="61" t="s">
        <v>709</v>
      </c>
      <c r="B117" s="61" t="s">
        <v>710</v>
      </c>
      <c r="C117" s="62">
        <v>40635</v>
      </c>
      <c r="D117" s="62">
        <v>40642</v>
      </c>
      <c r="E117" s="61" t="s">
        <v>715</v>
      </c>
      <c r="F117" s="61"/>
      <c r="G117" s="802" t="s">
        <v>716</v>
      </c>
      <c r="H117" s="61" t="s">
        <v>714</v>
      </c>
      <c r="I117" s="61" t="s">
        <v>18</v>
      </c>
      <c r="J117" s="61" t="s">
        <v>51</v>
      </c>
      <c r="K117" s="61" t="s">
        <v>713</v>
      </c>
      <c r="L117" s="61" t="s">
        <v>712</v>
      </c>
      <c r="M117" s="61"/>
      <c r="N117" s="63" t="s">
        <v>711</v>
      </c>
      <c r="O117" s="1022">
        <f>690+70+42</f>
        <v>802</v>
      </c>
      <c r="P117" s="61"/>
      <c r="Q117" s="61" t="s">
        <v>717</v>
      </c>
      <c r="R117" s="882">
        <v>1</v>
      </c>
      <c r="S117" s="802">
        <v>2</v>
      </c>
      <c r="T117" s="802">
        <v>2</v>
      </c>
      <c r="U117" s="1373">
        <v>200</v>
      </c>
      <c r="V117" s="1601"/>
      <c r="W117" s="61"/>
      <c r="X117" s="61"/>
      <c r="Y117" s="61"/>
      <c r="Z117" s="61"/>
    </row>
    <row r="118" spans="1:26" ht="12" customHeight="1">
      <c r="A118" s="115" t="s">
        <v>1824</v>
      </c>
      <c r="B118" s="115" t="s">
        <v>1823</v>
      </c>
      <c r="C118" s="116">
        <v>43183</v>
      </c>
      <c r="D118" s="116">
        <v>43197</v>
      </c>
      <c r="E118" s="115" t="s">
        <v>1822</v>
      </c>
      <c r="F118" s="115"/>
      <c r="G118" s="361" t="s">
        <v>1826</v>
      </c>
      <c r="H118" s="115" t="s">
        <v>1825</v>
      </c>
      <c r="I118" s="115" t="s">
        <v>1827</v>
      </c>
      <c r="J118" s="115" t="s">
        <v>51</v>
      </c>
      <c r="K118" s="115" t="s">
        <v>1828</v>
      </c>
      <c r="L118" s="115"/>
      <c r="M118" s="115"/>
      <c r="N118" s="128" t="s">
        <v>1831</v>
      </c>
      <c r="O118" s="1027">
        <f>690*2</f>
        <v>1380</v>
      </c>
      <c r="P118" s="115"/>
      <c r="Q118" s="115" t="s">
        <v>1829</v>
      </c>
      <c r="R118" s="682">
        <v>2</v>
      </c>
      <c r="S118" s="361" t="s">
        <v>1830</v>
      </c>
      <c r="T118" s="361">
        <v>1</v>
      </c>
      <c r="U118" s="598">
        <v>500</v>
      </c>
      <c r="V118" s="120">
        <v>43046</v>
      </c>
      <c r="W118" s="115" t="s">
        <v>1833</v>
      </c>
      <c r="X118" s="115" t="s">
        <v>1154</v>
      </c>
      <c r="Y118" s="115"/>
      <c r="Z118" s="115"/>
    </row>
    <row r="119" spans="1:26" ht="12" customHeight="1">
      <c r="A119" s="21" t="s">
        <v>510</v>
      </c>
      <c r="B119" s="21" t="s">
        <v>511</v>
      </c>
      <c r="C119" s="30">
        <v>40069</v>
      </c>
      <c r="D119" s="30">
        <v>40083</v>
      </c>
      <c r="E119" s="21"/>
      <c r="F119" s="21"/>
      <c r="G119" s="764"/>
      <c r="H119" s="21"/>
      <c r="I119" s="21" t="s">
        <v>18</v>
      </c>
      <c r="J119" s="21" t="s">
        <v>51</v>
      </c>
      <c r="K119" s="21"/>
      <c r="L119" s="21"/>
      <c r="M119" s="21"/>
      <c r="N119" s="50"/>
      <c r="O119" s="1013">
        <v>2112</v>
      </c>
      <c r="P119" s="21"/>
      <c r="Q119" s="21" t="s">
        <v>512</v>
      </c>
      <c r="R119" s="876">
        <v>2</v>
      </c>
      <c r="S119" s="764">
        <v>2</v>
      </c>
      <c r="T119" s="764">
        <v>1</v>
      </c>
      <c r="U119" s="1357">
        <v>500</v>
      </c>
      <c r="V119" s="78"/>
      <c r="W119" s="21"/>
      <c r="X119" s="21"/>
      <c r="Y119" s="21"/>
      <c r="Z119" s="21"/>
    </row>
    <row r="120" spans="1:26" ht="12" customHeight="1">
      <c r="A120" s="689" t="s">
        <v>2379</v>
      </c>
      <c r="B120" s="689" t="s">
        <v>1669</v>
      </c>
      <c r="C120" s="690">
        <v>44366</v>
      </c>
      <c r="D120" s="690">
        <v>44380</v>
      </c>
      <c r="E120" s="689" t="s">
        <v>2380</v>
      </c>
      <c r="F120" s="689"/>
      <c r="G120" s="691" t="s">
        <v>2381</v>
      </c>
      <c r="H120" s="692" t="s">
        <v>2382</v>
      </c>
      <c r="I120" s="689" t="s">
        <v>18</v>
      </c>
      <c r="J120" s="689" t="s">
        <v>51</v>
      </c>
      <c r="K120" s="689"/>
      <c r="L120" s="693" t="s">
        <v>2383</v>
      </c>
      <c r="M120" s="689"/>
      <c r="N120" s="874" t="s">
        <v>2384</v>
      </c>
      <c r="O120" s="1041">
        <f>1590+1990-895*3</f>
        <v>895</v>
      </c>
      <c r="P120" s="689"/>
      <c r="Q120" s="689" t="s">
        <v>2023</v>
      </c>
      <c r="R120" s="696">
        <v>0</v>
      </c>
      <c r="S120" s="691">
        <v>2</v>
      </c>
      <c r="T120" s="691">
        <v>2</v>
      </c>
      <c r="U120" s="697" t="s">
        <v>2385</v>
      </c>
      <c r="V120" s="695">
        <v>43759</v>
      </c>
      <c r="W120" s="689" t="s">
        <v>1769</v>
      </c>
      <c r="X120" s="689" t="s">
        <v>1154</v>
      </c>
      <c r="Y120" s="689"/>
      <c r="Z120" s="689"/>
    </row>
    <row r="121" spans="1:26" s="21" customFormat="1" ht="12" customHeight="1">
      <c r="A121" s="689" t="s">
        <v>2379</v>
      </c>
      <c r="B121" s="689" t="s">
        <v>1669</v>
      </c>
      <c r="C121" s="690">
        <v>44695</v>
      </c>
      <c r="D121" s="690">
        <v>44702</v>
      </c>
      <c r="E121" s="689" t="s">
        <v>2380</v>
      </c>
      <c r="F121" s="689"/>
      <c r="G121" s="691" t="s">
        <v>2381</v>
      </c>
      <c r="H121" s="692" t="s">
        <v>2382</v>
      </c>
      <c r="I121" s="689" t="s">
        <v>18</v>
      </c>
      <c r="J121" s="689" t="s">
        <v>51</v>
      </c>
      <c r="K121" s="689"/>
      <c r="L121" s="693" t="s">
        <v>2383</v>
      </c>
      <c r="M121" s="689"/>
      <c r="N121" s="874" t="s">
        <v>2384</v>
      </c>
      <c r="O121" s="1041">
        <v>600</v>
      </c>
      <c r="P121" s="689"/>
      <c r="Q121" s="689" t="s">
        <v>2023</v>
      </c>
      <c r="R121" s="696">
        <v>1</v>
      </c>
      <c r="S121" s="691">
        <v>2</v>
      </c>
      <c r="T121" s="691">
        <v>2</v>
      </c>
      <c r="U121" s="753" t="s">
        <v>2385</v>
      </c>
      <c r="V121" s="695">
        <v>43759</v>
      </c>
      <c r="W121" s="689" t="s">
        <v>3159</v>
      </c>
      <c r="X121" s="689" t="s">
        <v>1154</v>
      </c>
      <c r="Y121" s="689"/>
      <c r="Z121" s="689"/>
    </row>
    <row r="122" spans="1:26" s="21" customFormat="1" ht="12" customHeight="1">
      <c r="A122" s="21" t="s">
        <v>1209</v>
      </c>
      <c r="B122" s="21" t="s">
        <v>1210</v>
      </c>
      <c r="C122" s="30">
        <v>41897</v>
      </c>
      <c r="D122" s="30">
        <v>41908</v>
      </c>
      <c r="E122" s="21" t="s">
        <v>1211</v>
      </c>
      <c r="G122" s="764" t="s">
        <v>1212</v>
      </c>
      <c r="H122" s="21" t="s">
        <v>1213</v>
      </c>
      <c r="I122" s="21" t="s">
        <v>18</v>
      </c>
      <c r="J122" s="21" t="s">
        <v>51</v>
      </c>
      <c r="K122" s="21" t="s">
        <v>1214</v>
      </c>
      <c r="N122" s="50" t="s">
        <v>1215</v>
      </c>
      <c r="O122" s="1013">
        <f>2000+50</f>
        <v>2050</v>
      </c>
      <c r="Q122" s="21" t="s">
        <v>1216</v>
      </c>
      <c r="R122" s="876">
        <v>2</v>
      </c>
      <c r="S122" s="764" t="s">
        <v>199</v>
      </c>
      <c r="T122" s="764">
        <v>2</v>
      </c>
      <c r="U122" s="75">
        <v>500</v>
      </c>
      <c r="V122" s="78">
        <v>41656</v>
      </c>
      <c r="W122" s="21" t="s">
        <v>791</v>
      </c>
      <c r="X122" s="21" t="s">
        <v>1217</v>
      </c>
    </row>
    <row r="123" spans="1:26" s="21" customFormat="1" ht="12" customHeight="1">
      <c r="A123" s="115" t="s">
        <v>2427</v>
      </c>
      <c r="B123" s="115" t="s">
        <v>2426</v>
      </c>
      <c r="C123" s="116">
        <v>43880</v>
      </c>
      <c r="D123" s="116">
        <v>43890</v>
      </c>
      <c r="E123" s="115" t="s">
        <v>2428</v>
      </c>
      <c r="F123" s="115"/>
      <c r="G123" s="361" t="s">
        <v>2429</v>
      </c>
      <c r="H123" s="364" t="s">
        <v>2430</v>
      </c>
      <c r="I123" s="115" t="s">
        <v>18</v>
      </c>
      <c r="J123" s="115" t="s">
        <v>1023</v>
      </c>
      <c r="K123" s="115"/>
      <c r="L123" s="124" t="s">
        <v>2431</v>
      </c>
      <c r="M123" s="115"/>
      <c r="N123" s="128" t="s">
        <v>2432</v>
      </c>
      <c r="O123" s="1027">
        <f>790*1.5</f>
        <v>1185</v>
      </c>
      <c r="P123" s="115"/>
      <c r="Q123" s="115" t="s">
        <v>1858</v>
      </c>
      <c r="R123" s="682">
        <v>1.5</v>
      </c>
      <c r="S123" s="361">
        <v>2</v>
      </c>
      <c r="T123" s="361">
        <v>2</v>
      </c>
      <c r="U123" s="119">
        <v>300</v>
      </c>
      <c r="V123" s="120">
        <v>43832</v>
      </c>
      <c r="W123" s="115" t="s">
        <v>1769</v>
      </c>
      <c r="X123" s="115" t="s">
        <v>1154</v>
      </c>
      <c r="Y123" s="115"/>
      <c r="Z123" s="115"/>
    </row>
    <row r="124" spans="1:26" s="21" customFormat="1" ht="12" customHeight="1">
      <c r="A124" s="355" t="s">
        <v>2271</v>
      </c>
      <c r="B124" s="355" t="s">
        <v>2286</v>
      </c>
      <c r="C124" s="357">
        <v>43596</v>
      </c>
      <c r="D124" s="357">
        <v>43603</v>
      </c>
      <c r="E124" s="355" t="s">
        <v>2272</v>
      </c>
      <c r="F124" s="355"/>
      <c r="G124" s="358" t="s">
        <v>2273</v>
      </c>
      <c r="H124" s="367" t="s">
        <v>2274</v>
      </c>
      <c r="I124" s="355" t="s">
        <v>168</v>
      </c>
      <c r="J124" s="355" t="s">
        <v>1023</v>
      </c>
      <c r="K124" s="355" t="s">
        <v>2276</v>
      </c>
      <c r="L124" s="368" t="s">
        <v>2275</v>
      </c>
      <c r="M124" s="355"/>
      <c r="N124" s="365" t="s">
        <v>2277</v>
      </c>
      <c r="O124" s="1036">
        <v>890</v>
      </c>
      <c r="P124" s="355"/>
      <c r="Q124" s="355" t="s">
        <v>2278</v>
      </c>
      <c r="R124" s="891">
        <v>1</v>
      </c>
      <c r="S124" s="358">
        <v>3</v>
      </c>
      <c r="T124" s="358">
        <v>2</v>
      </c>
      <c r="U124" s="356" t="s">
        <v>1832</v>
      </c>
      <c r="V124" s="360">
        <v>43561</v>
      </c>
      <c r="W124" s="355"/>
      <c r="X124" s="355"/>
      <c r="Y124" s="355"/>
      <c r="Z124" s="355"/>
    </row>
    <row r="125" spans="1:26" s="21" customFormat="1" ht="12" customHeight="1">
      <c r="A125" s="8" t="s">
        <v>240</v>
      </c>
      <c r="B125" s="8" t="s">
        <v>241</v>
      </c>
      <c r="C125" s="31">
        <v>38528</v>
      </c>
      <c r="D125" s="31">
        <v>38549</v>
      </c>
      <c r="E125" s="8" t="s">
        <v>235</v>
      </c>
      <c r="F125" s="8"/>
      <c r="G125" s="132" t="s">
        <v>238</v>
      </c>
      <c r="H125" s="8" t="s">
        <v>239</v>
      </c>
      <c r="I125" s="8" t="s">
        <v>18</v>
      </c>
      <c r="J125" s="8" t="s">
        <v>51</v>
      </c>
      <c r="K125" s="8" t="s">
        <v>236</v>
      </c>
      <c r="L125" s="8" t="s">
        <v>245</v>
      </c>
      <c r="M125" s="8"/>
      <c r="N125" s="49" t="s">
        <v>237</v>
      </c>
      <c r="O125" s="1012">
        <v>1650</v>
      </c>
      <c r="P125" s="8"/>
      <c r="Q125" s="8"/>
      <c r="R125" s="685">
        <v>3</v>
      </c>
      <c r="S125" s="132">
        <v>2</v>
      </c>
      <c r="T125" s="132">
        <v>2</v>
      </c>
      <c r="U125" s="13" t="s">
        <v>232</v>
      </c>
      <c r="V125" s="86"/>
      <c r="W125" s="8"/>
      <c r="X125" s="8"/>
      <c r="Y125" s="8"/>
      <c r="Z125" s="8"/>
    </row>
    <row r="126" spans="1:26" s="21" customFormat="1" ht="12" customHeight="1">
      <c r="A126" s="115" t="s">
        <v>3149</v>
      </c>
      <c r="B126" s="115" t="s">
        <v>3148</v>
      </c>
      <c r="C126" s="116">
        <v>44653</v>
      </c>
      <c r="D126" s="116">
        <v>44660</v>
      </c>
      <c r="E126" s="115" t="s">
        <v>3150</v>
      </c>
      <c r="F126" s="115"/>
      <c r="G126" s="361" t="s">
        <v>3151</v>
      </c>
      <c r="H126" s="115" t="s">
        <v>3152</v>
      </c>
      <c r="I126" s="115" t="s">
        <v>18</v>
      </c>
      <c r="J126" s="115" t="s">
        <v>51</v>
      </c>
      <c r="K126" s="124"/>
      <c r="L126" s="115" t="s">
        <v>3153</v>
      </c>
      <c r="M126" s="115"/>
      <c r="N126" s="128" t="s">
        <v>3154</v>
      </c>
      <c r="O126" s="1044">
        <v>890</v>
      </c>
      <c r="P126" s="115"/>
      <c r="Q126" s="115" t="s">
        <v>3155</v>
      </c>
      <c r="R126" s="682">
        <v>1</v>
      </c>
      <c r="S126" s="361">
        <v>3</v>
      </c>
      <c r="T126" s="361">
        <v>2</v>
      </c>
      <c r="U126" s="918">
        <v>222.5</v>
      </c>
      <c r="V126" s="120">
        <v>44594</v>
      </c>
      <c r="W126" s="115" t="s">
        <v>1338</v>
      </c>
      <c r="X126" s="115" t="s">
        <v>1154</v>
      </c>
      <c r="Y126" s="115"/>
      <c r="Z126" s="115"/>
    </row>
    <row r="127" spans="1:26" s="21" customFormat="1" ht="12" customHeight="1">
      <c r="A127" s="115" t="s">
        <v>1715</v>
      </c>
      <c r="B127" s="115" t="s">
        <v>1714</v>
      </c>
      <c r="C127" s="116">
        <v>42987</v>
      </c>
      <c r="D127" s="116">
        <v>42994</v>
      </c>
      <c r="E127" s="115" t="s">
        <v>1716</v>
      </c>
      <c r="F127" s="115"/>
      <c r="G127" s="361" t="s">
        <v>1717</v>
      </c>
      <c r="H127" s="115" t="s">
        <v>1718</v>
      </c>
      <c r="I127" s="115" t="s">
        <v>18</v>
      </c>
      <c r="J127" s="115" t="s">
        <v>51</v>
      </c>
      <c r="K127" s="115" t="s">
        <v>1720</v>
      </c>
      <c r="L127" s="115"/>
      <c r="M127" s="115"/>
      <c r="N127" s="128" t="s">
        <v>1719</v>
      </c>
      <c r="O127" s="1027">
        <v>1190</v>
      </c>
      <c r="P127" s="115"/>
      <c r="Q127" s="118"/>
      <c r="R127" s="682">
        <v>1</v>
      </c>
      <c r="S127" s="361" t="s">
        <v>1025</v>
      </c>
      <c r="T127" s="361">
        <v>1</v>
      </c>
      <c r="U127" s="119">
        <v>298</v>
      </c>
      <c r="V127" s="120">
        <v>42800</v>
      </c>
      <c r="W127" s="115" t="s">
        <v>1651</v>
      </c>
      <c r="X127" s="115" t="s">
        <v>1154</v>
      </c>
      <c r="Y127" s="115"/>
      <c r="Z127" s="115"/>
    </row>
    <row r="128" spans="1:26" s="21" customFormat="1" ht="12" customHeight="1">
      <c r="A128" s="21" t="s">
        <v>446</v>
      </c>
      <c r="B128" s="21" t="s">
        <v>447</v>
      </c>
      <c r="C128" s="30">
        <v>39970</v>
      </c>
      <c r="D128" s="30">
        <v>39977</v>
      </c>
      <c r="E128" s="21" t="s">
        <v>452</v>
      </c>
      <c r="G128" s="764">
        <v>76228</v>
      </c>
      <c r="H128" s="21" t="s">
        <v>451</v>
      </c>
      <c r="I128" s="21" t="s">
        <v>18</v>
      </c>
      <c r="J128" s="21" t="s">
        <v>51</v>
      </c>
      <c r="L128" s="21" t="s">
        <v>449</v>
      </c>
      <c r="N128" s="50" t="s">
        <v>448</v>
      </c>
      <c r="O128" s="1013">
        <v>970</v>
      </c>
      <c r="Q128" s="21" t="s">
        <v>450</v>
      </c>
      <c r="R128" s="876">
        <v>1</v>
      </c>
      <c r="S128" s="764">
        <v>3</v>
      </c>
      <c r="T128" s="764">
        <v>1</v>
      </c>
      <c r="U128" s="43">
        <v>225</v>
      </c>
      <c r="V128" s="78"/>
    </row>
    <row r="129" spans="1:26" s="21" customFormat="1" ht="12" customHeight="1">
      <c r="A129" s="838" t="s">
        <v>1700</v>
      </c>
      <c r="B129" s="838" t="s">
        <v>1699</v>
      </c>
      <c r="C129" s="839">
        <v>42980</v>
      </c>
      <c r="D129" s="839">
        <v>42987</v>
      </c>
      <c r="E129" s="838" t="s">
        <v>1702</v>
      </c>
      <c r="F129" s="838"/>
      <c r="G129" s="840" t="s">
        <v>1704</v>
      </c>
      <c r="H129" s="838" t="s">
        <v>1703</v>
      </c>
      <c r="I129" s="838" t="s">
        <v>18</v>
      </c>
      <c r="J129" s="838" t="s">
        <v>51</v>
      </c>
      <c r="K129" s="838"/>
      <c r="L129" s="838" t="s">
        <v>1705</v>
      </c>
      <c r="M129" s="838"/>
      <c r="N129" s="860" t="s">
        <v>1701</v>
      </c>
      <c r="O129" s="1029">
        <v>1390</v>
      </c>
      <c r="P129" s="838"/>
      <c r="Q129" s="838" t="s">
        <v>1729</v>
      </c>
      <c r="R129" s="887">
        <v>1</v>
      </c>
      <c r="S129" s="840">
        <v>2</v>
      </c>
      <c r="T129" s="840">
        <v>3</v>
      </c>
      <c r="U129" s="843">
        <v>347.5</v>
      </c>
      <c r="V129" s="844">
        <v>42795</v>
      </c>
      <c r="W129" s="838" t="s">
        <v>1651</v>
      </c>
      <c r="X129" s="838" t="s">
        <v>1154</v>
      </c>
      <c r="Y129" s="838"/>
      <c r="Z129" s="838"/>
    </row>
    <row r="130" spans="1:26" s="21" customFormat="1" ht="12" customHeight="1">
      <c r="A130" s="115" t="s">
        <v>2620</v>
      </c>
      <c r="B130" s="115" t="s">
        <v>2694</v>
      </c>
      <c r="C130" s="116">
        <v>44065</v>
      </c>
      <c r="D130" s="116">
        <v>44079</v>
      </c>
      <c r="E130" s="115" t="s">
        <v>2621</v>
      </c>
      <c r="F130" s="115"/>
      <c r="G130" s="361" t="s">
        <v>2622</v>
      </c>
      <c r="H130" s="364" t="s">
        <v>2623</v>
      </c>
      <c r="I130" s="115" t="s">
        <v>18</v>
      </c>
      <c r="J130" s="115" t="s">
        <v>1023</v>
      </c>
      <c r="K130" s="115"/>
      <c r="L130" s="124" t="s">
        <v>2624</v>
      </c>
      <c r="M130" s="115"/>
      <c r="N130" s="128" t="s">
        <v>2625</v>
      </c>
      <c r="O130" s="1027">
        <f>1990*2</f>
        <v>3980</v>
      </c>
      <c r="P130" s="115"/>
      <c r="Q130" s="115" t="s">
        <v>2627</v>
      </c>
      <c r="R130" s="682">
        <v>2</v>
      </c>
      <c r="S130" s="361">
        <v>4</v>
      </c>
      <c r="T130" s="361">
        <v>1</v>
      </c>
      <c r="U130" s="119">
        <v>995</v>
      </c>
      <c r="V130" s="120">
        <v>44025</v>
      </c>
      <c r="W130" s="115" t="s">
        <v>1769</v>
      </c>
      <c r="X130" s="115" t="s">
        <v>1154</v>
      </c>
      <c r="Y130" s="115"/>
      <c r="Z130" s="115"/>
    </row>
    <row r="131" spans="1:26" s="21" customFormat="1" ht="12" customHeight="1">
      <c r="A131" s="1136" t="s">
        <v>3024</v>
      </c>
      <c r="B131" s="1136" t="s">
        <v>3025</v>
      </c>
      <c r="C131" s="1137">
        <v>44751</v>
      </c>
      <c r="D131" s="1137">
        <v>44765</v>
      </c>
      <c r="E131" s="1138" t="s">
        <v>3026</v>
      </c>
      <c r="F131" s="1136"/>
      <c r="G131" s="1139" t="s">
        <v>3027</v>
      </c>
      <c r="H131" s="1138" t="s">
        <v>3028</v>
      </c>
      <c r="I131" s="1136" t="s">
        <v>18</v>
      </c>
      <c r="J131" s="1136" t="s">
        <v>51</v>
      </c>
      <c r="K131" s="1136"/>
      <c r="L131" s="1138" t="s">
        <v>3029</v>
      </c>
      <c r="M131" s="1136"/>
      <c r="N131" s="1140" t="s">
        <v>3030</v>
      </c>
      <c r="O131" s="1141">
        <f>1990*2+70</f>
        <v>4050</v>
      </c>
      <c r="P131" s="1136"/>
      <c r="Q131" s="1136" t="s">
        <v>3282</v>
      </c>
      <c r="R131" s="1142">
        <v>2</v>
      </c>
      <c r="S131" s="1139">
        <v>2</v>
      </c>
      <c r="T131" s="1139">
        <v>2</v>
      </c>
      <c r="U131" s="1143" t="s">
        <v>3031</v>
      </c>
      <c r="V131" s="1199">
        <v>44428</v>
      </c>
      <c r="W131" s="1136" t="s">
        <v>1477</v>
      </c>
      <c r="X131" s="1136" t="s">
        <v>1154</v>
      </c>
      <c r="Y131" s="1136"/>
      <c r="Z131" s="1136"/>
    </row>
    <row r="132" spans="1:26" s="21" customFormat="1" ht="12" customHeight="1">
      <c r="A132" s="829" t="s">
        <v>1497</v>
      </c>
      <c r="B132" s="115" t="s">
        <v>1498</v>
      </c>
      <c r="C132" s="116">
        <v>42546</v>
      </c>
      <c r="D132" s="116">
        <v>42560</v>
      </c>
      <c r="E132" s="115" t="s">
        <v>1520</v>
      </c>
      <c r="F132" s="115"/>
      <c r="G132" s="361" t="s">
        <v>1521</v>
      </c>
      <c r="H132" s="115" t="s">
        <v>1522</v>
      </c>
      <c r="I132" s="115" t="s">
        <v>18</v>
      </c>
      <c r="J132" s="115" t="s">
        <v>51</v>
      </c>
      <c r="K132" s="115" t="s">
        <v>1523</v>
      </c>
      <c r="L132" s="115" t="s">
        <v>1524</v>
      </c>
      <c r="M132" s="115"/>
      <c r="N132" s="128" t="s">
        <v>1751</v>
      </c>
      <c r="O132" s="1027">
        <f>1390+1790</f>
        <v>3180</v>
      </c>
      <c r="P132" s="115"/>
      <c r="Q132" s="115"/>
      <c r="R132" s="682">
        <v>2</v>
      </c>
      <c r="S132" s="361" t="s">
        <v>1500</v>
      </c>
      <c r="T132" s="361">
        <v>1</v>
      </c>
      <c r="U132" s="119">
        <f>O132/4</f>
        <v>795</v>
      </c>
      <c r="V132" s="120"/>
      <c r="W132" s="115"/>
      <c r="X132" s="115"/>
      <c r="Y132" s="115"/>
      <c r="Z132" s="115"/>
    </row>
    <row r="133" spans="1:26" s="21" customFormat="1" ht="12" customHeight="1">
      <c r="A133" s="115" t="s">
        <v>2854</v>
      </c>
      <c r="B133" s="115" t="s">
        <v>2855</v>
      </c>
      <c r="C133" s="116">
        <v>44422</v>
      </c>
      <c r="D133" s="116">
        <v>44436</v>
      </c>
      <c r="E133" s="115" t="s">
        <v>2856</v>
      </c>
      <c r="F133" s="115"/>
      <c r="G133" s="361" t="s">
        <v>2857</v>
      </c>
      <c r="H133" s="115" t="s">
        <v>2858</v>
      </c>
      <c r="I133" s="115" t="s">
        <v>18</v>
      </c>
      <c r="J133" s="115" t="s">
        <v>51</v>
      </c>
      <c r="K133" s="124" t="s">
        <v>2859</v>
      </c>
      <c r="L133" s="115" t="s">
        <v>2860</v>
      </c>
      <c r="M133" s="115"/>
      <c r="N133" s="128" t="s">
        <v>2861</v>
      </c>
      <c r="O133" s="1027">
        <f>1990*2</f>
        <v>3980</v>
      </c>
      <c r="P133" s="115"/>
      <c r="Q133" s="115" t="s">
        <v>2862</v>
      </c>
      <c r="R133" s="682">
        <v>2</v>
      </c>
      <c r="S133" s="361">
        <v>4</v>
      </c>
      <c r="T133" s="361">
        <v>2</v>
      </c>
      <c r="U133" s="918"/>
      <c r="V133" s="120">
        <v>44230</v>
      </c>
      <c r="W133" s="115" t="s">
        <v>1477</v>
      </c>
      <c r="X133" s="115" t="s">
        <v>1154</v>
      </c>
      <c r="Y133" s="115"/>
      <c r="Z133" s="115"/>
    </row>
    <row r="134" spans="1:26" s="21" customFormat="1" ht="12" customHeight="1">
      <c r="A134" s="21" t="s">
        <v>500</v>
      </c>
      <c r="B134" s="21" t="s">
        <v>501</v>
      </c>
      <c r="C134" s="30">
        <v>39991</v>
      </c>
      <c r="D134" s="30">
        <v>40005</v>
      </c>
      <c r="G134" s="764"/>
      <c r="I134" s="21" t="s">
        <v>18</v>
      </c>
      <c r="J134" s="21" t="s">
        <v>51</v>
      </c>
      <c r="L134" s="21" t="s">
        <v>533</v>
      </c>
      <c r="N134" s="50" t="s">
        <v>502</v>
      </c>
      <c r="O134" s="1013">
        <v>2600</v>
      </c>
      <c r="Q134" s="21" t="s">
        <v>503</v>
      </c>
      <c r="R134" s="876">
        <v>2</v>
      </c>
      <c r="S134" s="764">
        <v>5</v>
      </c>
      <c r="T134" s="764"/>
      <c r="U134" s="43">
        <v>650</v>
      </c>
      <c r="V134" s="78"/>
    </row>
    <row r="135" spans="1:26" s="21" customFormat="1" ht="12" customHeight="1">
      <c r="A135" s="838" t="s">
        <v>2594</v>
      </c>
      <c r="B135" s="838" t="s">
        <v>2593</v>
      </c>
      <c r="C135" s="839">
        <v>44114</v>
      </c>
      <c r="D135" s="839">
        <v>44121</v>
      </c>
      <c r="E135" s="838" t="s">
        <v>2598</v>
      </c>
      <c r="F135" s="838"/>
      <c r="G135" s="840"/>
      <c r="H135" s="838"/>
      <c r="I135" s="838" t="s">
        <v>18</v>
      </c>
      <c r="J135" s="838" t="s">
        <v>51</v>
      </c>
      <c r="K135" s="838" t="s">
        <v>2596</v>
      </c>
      <c r="L135" s="838" t="s">
        <v>2597</v>
      </c>
      <c r="M135" s="838"/>
      <c r="N135" s="861" t="s">
        <v>2595</v>
      </c>
      <c r="O135" s="1029">
        <v>297.5</v>
      </c>
      <c r="P135" s="838"/>
      <c r="Q135" s="838" t="s">
        <v>2705</v>
      </c>
      <c r="R135" s="887"/>
      <c r="S135" s="840">
        <v>5</v>
      </c>
      <c r="T135" s="840">
        <v>2</v>
      </c>
      <c r="U135" s="843">
        <v>297.5</v>
      </c>
      <c r="V135" s="844">
        <v>44003</v>
      </c>
      <c r="W135" s="838" t="s">
        <v>1477</v>
      </c>
      <c r="X135" s="838" t="s">
        <v>1154</v>
      </c>
      <c r="Y135" s="838"/>
      <c r="Z135" s="838"/>
    </row>
    <row r="136" spans="1:26" s="21" customFormat="1" ht="12" customHeight="1">
      <c r="A136" s="505" t="s">
        <v>2470</v>
      </c>
      <c r="B136" s="115" t="s">
        <v>2471</v>
      </c>
      <c r="C136" s="116">
        <v>43925</v>
      </c>
      <c r="D136" s="116">
        <v>43939</v>
      </c>
      <c r="E136" s="115" t="s">
        <v>2472</v>
      </c>
      <c r="F136" s="115"/>
      <c r="G136" s="361" t="s">
        <v>2473</v>
      </c>
      <c r="H136" s="115" t="s">
        <v>2474</v>
      </c>
      <c r="I136" s="115" t="s">
        <v>18</v>
      </c>
      <c r="J136" s="115" t="s">
        <v>51</v>
      </c>
      <c r="K136" s="115"/>
      <c r="L136" s="115" t="s">
        <v>2476</v>
      </c>
      <c r="M136" s="115"/>
      <c r="N136" s="128" t="s">
        <v>2475</v>
      </c>
      <c r="O136" s="1027">
        <v>0</v>
      </c>
      <c r="P136" s="115"/>
      <c r="Q136" s="115" t="s">
        <v>2589</v>
      </c>
      <c r="R136" s="682"/>
      <c r="S136" s="361">
        <v>4</v>
      </c>
      <c r="T136" s="361">
        <v>1</v>
      </c>
      <c r="U136" s="119">
        <f>445</f>
        <v>445</v>
      </c>
      <c r="V136" s="120">
        <v>43854</v>
      </c>
      <c r="W136" s="115" t="s">
        <v>1338</v>
      </c>
      <c r="X136" s="115" t="s">
        <v>1154</v>
      </c>
      <c r="Y136" s="115" t="s">
        <v>2550</v>
      </c>
      <c r="Z136" s="115"/>
    </row>
    <row r="137" spans="1:26" s="21" customFormat="1" ht="12" customHeight="1">
      <c r="A137" s="505" t="s">
        <v>2470</v>
      </c>
      <c r="B137" s="115" t="s">
        <v>2471</v>
      </c>
      <c r="C137" s="116">
        <v>44660</v>
      </c>
      <c r="D137" s="116">
        <v>43937</v>
      </c>
      <c r="E137" s="115" t="s">
        <v>2472</v>
      </c>
      <c r="F137" s="115"/>
      <c r="G137" s="361" t="s">
        <v>2473</v>
      </c>
      <c r="H137" s="115" t="s">
        <v>2474</v>
      </c>
      <c r="I137" s="115" t="s">
        <v>18</v>
      </c>
      <c r="J137" s="115" t="s">
        <v>51</v>
      </c>
      <c r="K137" s="115"/>
      <c r="L137" s="115" t="s">
        <v>2476</v>
      </c>
      <c r="M137" s="115"/>
      <c r="N137" s="128" t="s">
        <v>2475</v>
      </c>
      <c r="O137" s="1027">
        <f>890/2+70</f>
        <v>515</v>
      </c>
      <c r="P137" s="115"/>
      <c r="Q137" s="115" t="s">
        <v>3187</v>
      </c>
      <c r="R137" s="682">
        <v>1</v>
      </c>
      <c r="S137" s="361">
        <v>4</v>
      </c>
      <c r="T137" s="361">
        <v>1</v>
      </c>
      <c r="U137" s="119">
        <f>445</f>
        <v>445</v>
      </c>
      <c r="V137" s="120">
        <v>43854</v>
      </c>
      <c r="W137" s="115" t="s">
        <v>1338</v>
      </c>
      <c r="X137" s="115" t="s">
        <v>1154</v>
      </c>
      <c r="Y137" s="115" t="s">
        <v>3188</v>
      </c>
      <c r="Z137" s="115"/>
    </row>
    <row r="138" spans="1:26" s="21" customFormat="1" ht="12" customHeight="1">
      <c r="A138" s="505" t="s">
        <v>3925</v>
      </c>
      <c r="B138" s="115" t="s">
        <v>3924</v>
      </c>
      <c r="C138" s="116">
        <v>45556</v>
      </c>
      <c r="D138" s="116">
        <v>45570</v>
      </c>
      <c r="E138" s="115" t="s">
        <v>3926</v>
      </c>
      <c r="F138" s="115"/>
      <c r="G138" s="361" t="s">
        <v>3927</v>
      </c>
      <c r="H138" s="115" t="s">
        <v>3928</v>
      </c>
      <c r="I138" s="115" t="s">
        <v>18</v>
      </c>
      <c r="J138" s="115" t="s">
        <v>51</v>
      </c>
      <c r="K138" s="115"/>
      <c r="L138" s="115" t="s">
        <v>3929</v>
      </c>
      <c r="M138" s="115"/>
      <c r="N138" s="121" t="s">
        <v>3930</v>
      </c>
      <c r="O138" s="1027">
        <f>1590+1290</f>
        <v>2880</v>
      </c>
      <c r="P138" s="115"/>
      <c r="Q138" s="115" t="s">
        <v>1192</v>
      </c>
      <c r="R138" s="682">
        <v>2</v>
      </c>
      <c r="S138" s="361">
        <v>2</v>
      </c>
      <c r="T138" s="361">
        <v>2</v>
      </c>
      <c r="U138" s="119" t="s">
        <v>3938</v>
      </c>
      <c r="V138" s="120">
        <v>45347</v>
      </c>
      <c r="W138" s="115" t="s">
        <v>1477</v>
      </c>
      <c r="X138" s="115" t="s">
        <v>1154</v>
      </c>
      <c r="Y138" s="115"/>
      <c r="Z138" s="115"/>
    </row>
    <row r="139" spans="1:26" s="67" customFormat="1" ht="12" customHeight="1">
      <c r="A139" s="1482" t="s">
        <v>3553</v>
      </c>
      <c r="B139" s="820" t="s">
        <v>3325</v>
      </c>
      <c r="C139" s="821">
        <v>45178</v>
      </c>
      <c r="D139" s="821">
        <v>45199</v>
      </c>
      <c r="E139" s="820"/>
      <c r="F139" s="820"/>
      <c r="G139" s="822"/>
      <c r="H139" s="820"/>
      <c r="I139" s="820" t="s">
        <v>18</v>
      </c>
      <c r="J139" s="820" t="s">
        <v>51</v>
      </c>
      <c r="K139" s="820" t="s">
        <v>3630</v>
      </c>
      <c r="L139" s="820" t="s">
        <v>3327</v>
      </c>
      <c r="M139" s="820"/>
      <c r="N139" s="1458" t="s">
        <v>3326</v>
      </c>
      <c r="O139" s="1026">
        <f>1990+1590+1590+70+2*3*20</f>
        <v>5360</v>
      </c>
      <c r="P139" s="820"/>
      <c r="Q139" s="820"/>
      <c r="R139" s="885">
        <v>3</v>
      </c>
      <c r="S139" s="822">
        <v>2</v>
      </c>
      <c r="T139" s="822">
        <v>2</v>
      </c>
      <c r="U139" s="1723">
        <v>1292.5</v>
      </c>
      <c r="V139" s="825">
        <v>44794</v>
      </c>
      <c r="W139" s="820" t="s">
        <v>3219</v>
      </c>
      <c r="X139" s="820" t="s">
        <v>1154</v>
      </c>
      <c r="Y139" s="820"/>
      <c r="Z139" s="820"/>
    </row>
    <row r="140" spans="1:26" ht="12" customHeight="1">
      <c r="A140" s="21" t="s">
        <v>527</v>
      </c>
      <c r="B140" s="21" t="s">
        <v>857</v>
      </c>
      <c r="C140" s="30">
        <v>42081</v>
      </c>
      <c r="D140" s="30">
        <v>42095</v>
      </c>
      <c r="E140" s="21" t="s">
        <v>1421</v>
      </c>
      <c r="F140" s="21"/>
      <c r="G140" s="764" t="s">
        <v>1422</v>
      </c>
      <c r="H140" s="21" t="s">
        <v>1423</v>
      </c>
      <c r="I140" s="21" t="s">
        <v>18</v>
      </c>
      <c r="J140" s="21" t="s">
        <v>51</v>
      </c>
      <c r="K140" s="21" t="s">
        <v>1424</v>
      </c>
      <c r="L140" s="21"/>
      <c r="M140" s="21"/>
      <c r="N140" s="50"/>
      <c r="O140" s="1013">
        <f>690*2</f>
        <v>1380</v>
      </c>
      <c r="P140" s="21"/>
      <c r="Q140" s="21">
        <v>1</v>
      </c>
      <c r="R140" s="876">
        <v>2</v>
      </c>
      <c r="S140" s="764">
        <v>2</v>
      </c>
      <c r="T140" s="764">
        <v>1</v>
      </c>
      <c r="U140" s="1367">
        <v>345</v>
      </c>
      <c r="V140" s="78">
        <v>42055</v>
      </c>
      <c r="W140" s="21" t="s">
        <v>791</v>
      </c>
      <c r="X140" s="21" t="s">
        <v>1154</v>
      </c>
      <c r="Y140" s="21"/>
      <c r="Z140" s="21"/>
    </row>
    <row r="141" spans="1:26" ht="12" customHeight="1" thickBot="1">
      <c r="A141" s="115" t="s">
        <v>527</v>
      </c>
      <c r="B141" s="115" t="s">
        <v>693</v>
      </c>
      <c r="C141" s="116">
        <v>43096</v>
      </c>
      <c r="D141" s="116">
        <v>42745</v>
      </c>
      <c r="E141" s="115" t="s">
        <v>1787</v>
      </c>
      <c r="F141" s="115"/>
      <c r="G141" s="361" t="s">
        <v>1788</v>
      </c>
      <c r="H141" s="115" t="s">
        <v>1789</v>
      </c>
      <c r="I141" s="115" t="s">
        <v>18</v>
      </c>
      <c r="J141" s="115" t="s">
        <v>51</v>
      </c>
      <c r="K141" s="115"/>
      <c r="L141" s="115" t="s">
        <v>1790</v>
      </c>
      <c r="M141" s="115"/>
      <c r="N141" s="128" t="s">
        <v>1791</v>
      </c>
      <c r="O141" s="1027">
        <f>1090*2+21*2</f>
        <v>2222</v>
      </c>
      <c r="P141" s="115"/>
      <c r="Q141" s="115" t="s">
        <v>1025</v>
      </c>
      <c r="R141" s="682">
        <v>2</v>
      </c>
      <c r="S141" s="361">
        <v>2</v>
      </c>
      <c r="T141" s="361">
        <v>1</v>
      </c>
      <c r="U141" s="598">
        <v>556</v>
      </c>
      <c r="V141" s="120"/>
      <c r="W141" s="115" t="s">
        <v>1769</v>
      </c>
      <c r="X141" s="115"/>
      <c r="Y141" s="115"/>
      <c r="Z141" s="115"/>
    </row>
    <row r="142" spans="1:26" ht="12" customHeight="1" thickBot="1">
      <c r="A142" s="720" t="s">
        <v>527</v>
      </c>
      <c r="B142" s="731" t="s">
        <v>693</v>
      </c>
      <c r="C142" s="357">
        <v>43460</v>
      </c>
      <c r="D142" s="749">
        <v>43474</v>
      </c>
      <c r="E142" s="731" t="s">
        <v>1787</v>
      </c>
      <c r="F142" s="355"/>
      <c r="G142" s="358" t="s">
        <v>1788</v>
      </c>
      <c r="H142" s="355" t="s">
        <v>1789</v>
      </c>
      <c r="I142" s="355" t="s">
        <v>18</v>
      </c>
      <c r="J142" s="355" t="s">
        <v>51</v>
      </c>
      <c r="K142" s="355"/>
      <c r="L142" s="355" t="s">
        <v>1790</v>
      </c>
      <c r="M142" s="355"/>
      <c r="N142" s="365" t="s">
        <v>1791</v>
      </c>
      <c r="O142" s="1036">
        <f>1090*2</f>
        <v>2180</v>
      </c>
      <c r="P142" s="355"/>
      <c r="Q142" s="355" t="s">
        <v>1025</v>
      </c>
      <c r="R142" s="891">
        <v>2</v>
      </c>
      <c r="S142" s="358">
        <v>2</v>
      </c>
      <c r="T142" s="358">
        <v>1</v>
      </c>
      <c r="U142" s="478" t="s">
        <v>1920</v>
      </c>
      <c r="V142" s="360">
        <v>43180</v>
      </c>
      <c r="W142" s="355" t="s">
        <v>1769</v>
      </c>
      <c r="X142" s="355" t="s">
        <v>1154</v>
      </c>
      <c r="Y142" s="355"/>
      <c r="Z142" s="355"/>
    </row>
    <row r="143" spans="1:26" ht="12" customHeight="1" thickBot="1">
      <c r="A143" s="518" t="s">
        <v>527</v>
      </c>
      <c r="B143" s="540" t="s">
        <v>2223</v>
      </c>
      <c r="C143" s="1298">
        <v>43582</v>
      </c>
      <c r="D143" s="565">
        <v>43596</v>
      </c>
      <c r="E143" s="576" t="s">
        <v>2224</v>
      </c>
      <c r="F143" s="355"/>
      <c r="G143" s="358" t="s">
        <v>2225</v>
      </c>
      <c r="H143" s="367" t="s">
        <v>2226</v>
      </c>
      <c r="I143" s="355" t="s">
        <v>18</v>
      </c>
      <c r="J143" s="355" t="s">
        <v>1023</v>
      </c>
      <c r="K143" s="355"/>
      <c r="L143" s="368" t="s">
        <v>2227</v>
      </c>
      <c r="M143" s="355"/>
      <c r="N143" s="365" t="s">
        <v>2228</v>
      </c>
      <c r="O143" s="1036">
        <f xml:space="preserve"> 790+890</f>
        <v>1680</v>
      </c>
      <c r="P143" s="355"/>
      <c r="Q143" s="355" t="s">
        <v>2229</v>
      </c>
      <c r="R143" s="891">
        <v>2</v>
      </c>
      <c r="S143" s="358">
        <v>2</v>
      </c>
      <c r="T143" s="358">
        <v>3</v>
      </c>
      <c r="U143" s="478" t="s">
        <v>1832</v>
      </c>
      <c r="V143" s="360"/>
      <c r="W143" s="355"/>
      <c r="X143" s="355"/>
      <c r="Y143" s="355"/>
      <c r="Z143" s="355"/>
    </row>
    <row r="144" spans="1:26" ht="12" customHeight="1" thickBot="1">
      <c r="A144" s="355" t="s">
        <v>527</v>
      </c>
      <c r="B144" s="355" t="s">
        <v>693</v>
      </c>
      <c r="C144" s="357">
        <v>43824</v>
      </c>
      <c r="D144" s="565">
        <v>43475</v>
      </c>
      <c r="E144" s="576" t="s">
        <v>1787</v>
      </c>
      <c r="F144" s="355"/>
      <c r="G144" s="358" t="s">
        <v>1788</v>
      </c>
      <c r="H144" s="355" t="s">
        <v>1789</v>
      </c>
      <c r="I144" s="355" t="s">
        <v>18</v>
      </c>
      <c r="J144" s="355" t="s">
        <v>51</v>
      </c>
      <c r="K144" s="355"/>
      <c r="L144" s="355" t="s">
        <v>1790</v>
      </c>
      <c r="M144" s="355"/>
      <c r="N144" s="365" t="s">
        <v>1791</v>
      </c>
      <c r="O144" s="1036">
        <f>1190*2</f>
        <v>2380</v>
      </c>
      <c r="P144" s="355"/>
      <c r="Q144" s="355" t="s">
        <v>2252</v>
      </c>
      <c r="R144" s="891">
        <v>2</v>
      </c>
      <c r="S144" s="358">
        <v>2</v>
      </c>
      <c r="T144" s="358">
        <v>1</v>
      </c>
      <c r="U144" s="478" t="s">
        <v>2262</v>
      </c>
      <c r="V144" s="360">
        <v>43545</v>
      </c>
      <c r="W144" s="355" t="s">
        <v>1519</v>
      </c>
      <c r="X144" s="355" t="s">
        <v>1154</v>
      </c>
      <c r="Y144" s="355"/>
      <c r="Z144" s="355"/>
    </row>
    <row r="145" spans="1:26" ht="12" customHeight="1" thickBot="1">
      <c r="A145" s="1246" t="s">
        <v>527</v>
      </c>
      <c r="B145" s="1276" t="s">
        <v>693</v>
      </c>
      <c r="C145" s="409">
        <v>44555</v>
      </c>
      <c r="D145" s="1314">
        <v>44569</v>
      </c>
      <c r="E145" s="1333" t="s">
        <v>1787</v>
      </c>
      <c r="F145" s="408"/>
      <c r="G145" s="410" t="s">
        <v>1788</v>
      </c>
      <c r="H145" s="408" t="s">
        <v>1789</v>
      </c>
      <c r="I145" s="408" t="s">
        <v>18</v>
      </c>
      <c r="J145" s="408" t="s">
        <v>51</v>
      </c>
      <c r="K145" s="408"/>
      <c r="L145" s="408" t="s">
        <v>1790</v>
      </c>
      <c r="M145" s="408"/>
      <c r="N145" s="850" t="s">
        <v>1791</v>
      </c>
      <c r="O145" s="1031">
        <v>0</v>
      </c>
      <c r="P145" s="408"/>
      <c r="Q145" s="408" t="s">
        <v>3044</v>
      </c>
      <c r="R145" s="889">
        <v>0</v>
      </c>
      <c r="S145" s="410">
        <v>2</v>
      </c>
      <c r="T145" s="410">
        <v>2</v>
      </c>
      <c r="U145" s="1725">
        <f>O145/4</f>
        <v>0</v>
      </c>
      <c r="V145" s="416">
        <v>44340</v>
      </c>
      <c r="W145" s="408" t="s">
        <v>1519</v>
      </c>
      <c r="X145" s="408" t="s">
        <v>1154</v>
      </c>
      <c r="Y145" s="408"/>
      <c r="Z145" s="408"/>
    </row>
    <row r="146" spans="1:26" ht="12" customHeight="1" thickBot="1">
      <c r="A146" s="355" t="s">
        <v>527</v>
      </c>
      <c r="B146" s="355" t="s">
        <v>693</v>
      </c>
      <c r="C146" s="357">
        <v>44919</v>
      </c>
      <c r="D146" s="565">
        <v>44933</v>
      </c>
      <c r="E146" s="576" t="s">
        <v>1787</v>
      </c>
      <c r="F146" s="355"/>
      <c r="G146" s="358" t="s">
        <v>1788</v>
      </c>
      <c r="H146" s="355" t="s">
        <v>1789</v>
      </c>
      <c r="I146" s="355" t="s">
        <v>18</v>
      </c>
      <c r="J146" s="355" t="s">
        <v>51</v>
      </c>
      <c r="K146" s="355"/>
      <c r="L146" s="355" t="s">
        <v>1790</v>
      </c>
      <c r="M146" s="355"/>
      <c r="N146" s="365" t="s">
        <v>1791</v>
      </c>
      <c r="O146" s="1036">
        <f>1290*2+70</f>
        <v>2650</v>
      </c>
      <c r="P146" s="355"/>
      <c r="Q146" s="355" t="s">
        <v>3044</v>
      </c>
      <c r="R146" s="891">
        <v>2</v>
      </c>
      <c r="S146" s="358">
        <v>2</v>
      </c>
      <c r="T146" s="358">
        <v>2</v>
      </c>
      <c r="U146" s="478">
        <v>663</v>
      </c>
      <c r="V146" s="360">
        <v>44696</v>
      </c>
      <c r="W146" s="355" t="s">
        <v>1519</v>
      </c>
      <c r="X146" s="355" t="s">
        <v>1154</v>
      </c>
      <c r="Y146" s="355"/>
      <c r="Z146" s="355"/>
    </row>
    <row r="147" spans="1:26" ht="12" customHeight="1" thickBot="1">
      <c r="A147" s="38" t="s">
        <v>1006</v>
      </c>
      <c r="B147" s="1269" t="s">
        <v>693</v>
      </c>
      <c r="C147" s="30">
        <v>41415</v>
      </c>
      <c r="D147" s="1319">
        <v>41426</v>
      </c>
      <c r="E147" s="1271" t="s">
        <v>1007</v>
      </c>
      <c r="F147" s="21"/>
      <c r="G147" s="764"/>
      <c r="H147" s="21"/>
      <c r="I147" s="21" t="s">
        <v>18</v>
      </c>
      <c r="J147" s="21" t="s">
        <v>51</v>
      </c>
      <c r="K147" s="21" t="s">
        <v>1008</v>
      </c>
      <c r="L147" s="21" t="s">
        <v>1009</v>
      </c>
      <c r="M147" s="21"/>
      <c r="N147" s="50" t="s">
        <v>1010</v>
      </c>
      <c r="O147" s="1013">
        <f>1680+70</f>
        <v>1750</v>
      </c>
      <c r="P147" s="21"/>
      <c r="Q147" s="21" t="s">
        <v>1011</v>
      </c>
      <c r="R147" s="876">
        <v>2</v>
      </c>
      <c r="S147" s="764" t="s">
        <v>1012</v>
      </c>
      <c r="T147" s="764">
        <v>0</v>
      </c>
      <c r="U147" s="1367">
        <v>420</v>
      </c>
      <c r="V147" s="78">
        <v>41196</v>
      </c>
      <c r="W147" s="21" t="s">
        <v>1013</v>
      </c>
      <c r="X147" s="21"/>
      <c r="Y147" s="21"/>
      <c r="Z147" s="21"/>
    </row>
    <row r="148" spans="1:26" ht="12" customHeight="1" thickBot="1">
      <c r="A148" s="56" t="s">
        <v>438</v>
      </c>
      <c r="B148" s="1271" t="s">
        <v>439</v>
      </c>
      <c r="C148" s="30">
        <v>39599</v>
      </c>
      <c r="D148" s="1319">
        <v>39606</v>
      </c>
      <c r="E148" s="1271" t="s">
        <v>441</v>
      </c>
      <c r="F148" s="21"/>
      <c r="G148" s="764">
        <v>5034</v>
      </c>
      <c r="H148" s="21" t="s">
        <v>442</v>
      </c>
      <c r="I148" s="21" t="s">
        <v>168</v>
      </c>
      <c r="J148" s="21" t="s">
        <v>51</v>
      </c>
      <c r="K148" s="21"/>
      <c r="L148" s="21" t="s">
        <v>443</v>
      </c>
      <c r="M148" s="21"/>
      <c r="N148" s="50" t="s">
        <v>437</v>
      </c>
      <c r="O148" s="1013">
        <v>970</v>
      </c>
      <c r="P148" s="21"/>
      <c r="Q148" s="21"/>
      <c r="R148" s="876">
        <v>1</v>
      </c>
      <c r="S148" s="764">
        <v>2</v>
      </c>
      <c r="T148" s="764"/>
      <c r="U148" s="1364">
        <v>225</v>
      </c>
      <c r="V148" s="78"/>
      <c r="W148" s="21"/>
      <c r="X148" s="21"/>
      <c r="Y148" s="21"/>
      <c r="Z148" s="21"/>
    </row>
    <row r="149" spans="1:26" ht="12" customHeight="1">
      <c r="A149" s="115" t="s">
        <v>1937</v>
      </c>
      <c r="B149" s="115" t="s">
        <v>1938</v>
      </c>
      <c r="C149" s="116">
        <v>43645</v>
      </c>
      <c r="D149" s="116">
        <v>43659</v>
      </c>
      <c r="E149" s="115" t="s">
        <v>1939</v>
      </c>
      <c r="F149" s="115"/>
      <c r="G149" s="361" t="s">
        <v>1940</v>
      </c>
      <c r="H149" s="115" t="s">
        <v>1941</v>
      </c>
      <c r="I149" s="364" t="s">
        <v>18</v>
      </c>
      <c r="J149" s="115" t="s">
        <v>51</v>
      </c>
      <c r="K149" s="115"/>
      <c r="L149" s="115" t="s">
        <v>1942</v>
      </c>
      <c r="M149" s="115"/>
      <c r="N149" s="128" t="s">
        <v>1943</v>
      </c>
      <c r="O149" s="1027">
        <f>1390+1590</f>
        <v>2980</v>
      </c>
      <c r="P149" s="115"/>
      <c r="Q149" s="115" t="s">
        <v>599</v>
      </c>
      <c r="R149" s="682">
        <v>2</v>
      </c>
      <c r="S149" s="361" t="s">
        <v>1944</v>
      </c>
      <c r="T149" s="361">
        <v>2</v>
      </c>
      <c r="U149" s="129" t="s">
        <v>2025</v>
      </c>
      <c r="V149" s="120"/>
      <c r="W149" s="115"/>
      <c r="X149" s="115"/>
      <c r="Y149" s="115"/>
      <c r="Z149" s="115"/>
    </row>
    <row r="150" spans="1:26" ht="12" customHeight="1">
      <c r="A150" s="115" t="s">
        <v>1642</v>
      </c>
      <c r="B150" s="115" t="s">
        <v>1643</v>
      </c>
      <c r="C150" s="116">
        <v>42903</v>
      </c>
      <c r="D150" s="116">
        <v>42917</v>
      </c>
      <c r="E150" s="115" t="s">
        <v>1644</v>
      </c>
      <c r="F150" s="115"/>
      <c r="G150" s="361" t="s">
        <v>1645</v>
      </c>
      <c r="H150" s="115" t="s">
        <v>1646</v>
      </c>
      <c r="I150" s="115" t="s">
        <v>18</v>
      </c>
      <c r="J150" s="115" t="s">
        <v>51</v>
      </c>
      <c r="K150" s="115" t="s">
        <v>1648</v>
      </c>
      <c r="L150" s="115" t="s">
        <v>1647</v>
      </c>
      <c r="M150" s="115"/>
      <c r="N150" s="128" t="s">
        <v>1649</v>
      </c>
      <c r="O150" s="1027">
        <f>1190+1290</f>
        <v>2480</v>
      </c>
      <c r="P150" s="115"/>
      <c r="Q150" s="115"/>
      <c r="R150" s="682">
        <v>2</v>
      </c>
      <c r="S150" s="361" t="s">
        <v>1650</v>
      </c>
      <c r="T150" s="361">
        <v>2</v>
      </c>
      <c r="U150" s="598">
        <v>620</v>
      </c>
      <c r="V150" s="120">
        <v>42719</v>
      </c>
      <c r="W150" s="115" t="s">
        <v>1651</v>
      </c>
      <c r="X150" s="115" t="s">
        <v>1154</v>
      </c>
      <c r="Y150" s="115"/>
      <c r="Z150" s="115"/>
    </row>
    <row r="151" spans="1:26" ht="12" customHeight="1">
      <c r="A151" s="67" t="s">
        <v>681</v>
      </c>
      <c r="B151" s="67" t="s">
        <v>682</v>
      </c>
      <c r="C151" s="68">
        <v>40705</v>
      </c>
      <c r="D151" s="68">
        <v>40719</v>
      </c>
      <c r="E151" s="67" t="s">
        <v>678</v>
      </c>
      <c r="F151" s="67"/>
      <c r="G151" s="803" t="s">
        <v>680</v>
      </c>
      <c r="H151" s="67" t="s">
        <v>679</v>
      </c>
      <c r="I151" s="67" t="s">
        <v>18</v>
      </c>
      <c r="J151" s="67" t="s">
        <v>51</v>
      </c>
      <c r="K151" s="67"/>
      <c r="L151" s="67" t="s">
        <v>684</v>
      </c>
      <c r="M151" s="67"/>
      <c r="N151" s="69" t="s">
        <v>683</v>
      </c>
      <c r="O151" s="1023">
        <v>570</v>
      </c>
      <c r="P151" s="67"/>
      <c r="Q151" s="67" t="s">
        <v>752</v>
      </c>
      <c r="R151" s="883">
        <v>0</v>
      </c>
      <c r="S151" s="803">
        <v>6</v>
      </c>
      <c r="T151" s="803">
        <v>2</v>
      </c>
      <c r="U151" s="1743">
        <v>570</v>
      </c>
      <c r="V151" s="94"/>
      <c r="W151" s="67"/>
      <c r="X151" s="67"/>
      <c r="Y151" s="67"/>
      <c r="Z151" s="67"/>
    </row>
    <row r="152" spans="1:26" s="21" customFormat="1" ht="12" customHeight="1">
      <c r="A152" s="115" t="s">
        <v>681</v>
      </c>
      <c r="B152" s="115" t="s">
        <v>1874</v>
      </c>
      <c r="C152" s="116">
        <v>43316</v>
      </c>
      <c r="D152" s="116">
        <v>43323</v>
      </c>
      <c r="E152" s="115" t="s">
        <v>1875</v>
      </c>
      <c r="F152" s="115"/>
      <c r="G152" s="361" t="s">
        <v>1876</v>
      </c>
      <c r="H152" s="115" t="s">
        <v>1774</v>
      </c>
      <c r="I152" s="115" t="s">
        <v>1775</v>
      </c>
      <c r="J152" s="115" t="s">
        <v>1023</v>
      </c>
      <c r="K152" s="115"/>
      <c r="L152" s="115" t="s">
        <v>1877</v>
      </c>
      <c r="M152" s="115"/>
      <c r="N152" s="128" t="s">
        <v>1878</v>
      </c>
      <c r="O152" s="1027">
        <v>1990</v>
      </c>
      <c r="P152" s="115"/>
      <c r="Q152" s="115" t="s">
        <v>1879</v>
      </c>
      <c r="R152" s="682">
        <v>1</v>
      </c>
      <c r="S152" s="361">
        <v>4</v>
      </c>
      <c r="T152" s="361">
        <v>1</v>
      </c>
      <c r="U152" s="119">
        <v>500</v>
      </c>
      <c r="V152" s="120"/>
      <c r="W152" s="115"/>
      <c r="X152" s="115"/>
      <c r="Y152" s="115"/>
      <c r="Z152" s="115"/>
    </row>
    <row r="153" spans="1:26" s="21" customFormat="1" ht="12" customHeight="1">
      <c r="A153" s="115" t="s">
        <v>1462</v>
      </c>
      <c r="B153" s="115" t="s">
        <v>528</v>
      </c>
      <c r="C153" s="116">
        <v>42518</v>
      </c>
      <c r="D153" s="116">
        <v>42525</v>
      </c>
      <c r="E153" s="115" t="s">
        <v>1463</v>
      </c>
      <c r="F153" s="115"/>
      <c r="G153" s="361" t="s">
        <v>1464</v>
      </c>
      <c r="H153" s="115" t="s">
        <v>1465</v>
      </c>
      <c r="I153" s="115" t="s">
        <v>18</v>
      </c>
      <c r="J153" s="115" t="s">
        <v>51</v>
      </c>
      <c r="K153" s="115" t="s">
        <v>1466</v>
      </c>
      <c r="L153" s="115" t="s">
        <v>1467</v>
      </c>
      <c r="M153" s="115"/>
      <c r="N153" s="8"/>
      <c r="O153" s="1027">
        <f>1090</f>
        <v>1090</v>
      </c>
      <c r="P153" s="115"/>
      <c r="Q153" s="115" t="s">
        <v>1300</v>
      </c>
      <c r="R153" s="682">
        <v>1</v>
      </c>
      <c r="S153" s="361">
        <v>2</v>
      </c>
      <c r="T153" s="361">
        <v>3</v>
      </c>
      <c r="U153" s="119">
        <v>500</v>
      </c>
      <c r="V153" s="120">
        <v>42241</v>
      </c>
      <c r="W153" s="115"/>
      <c r="X153" s="115" t="s">
        <v>1154</v>
      </c>
      <c r="Y153" s="115"/>
      <c r="Z153" s="115"/>
    </row>
    <row r="154" spans="1:26" s="67" customFormat="1" ht="12" customHeight="1">
      <c r="A154" s="115" t="s">
        <v>2905</v>
      </c>
      <c r="B154" s="115" t="s">
        <v>2906</v>
      </c>
      <c r="C154" s="116">
        <v>44485</v>
      </c>
      <c r="D154" s="116">
        <v>44492</v>
      </c>
      <c r="E154" s="115" t="s">
        <v>2907</v>
      </c>
      <c r="F154" s="115"/>
      <c r="G154" s="361" t="s">
        <v>2908</v>
      </c>
      <c r="H154" s="115" t="s">
        <v>720</v>
      </c>
      <c r="I154" s="115" t="s">
        <v>18</v>
      </c>
      <c r="J154" s="115" t="s">
        <v>51</v>
      </c>
      <c r="K154" s="124"/>
      <c r="L154" s="115" t="s">
        <v>2909</v>
      </c>
      <c r="M154" s="115"/>
      <c r="N154" s="363" t="s">
        <v>2910</v>
      </c>
      <c r="O154" s="1027">
        <f>833.5+247.5</f>
        <v>1081</v>
      </c>
      <c r="P154" s="115"/>
      <c r="Q154" s="115" t="s">
        <v>1060</v>
      </c>
      <c r="R154" s="682">
        <v>1</v>
      </c>
      <c r="S154" s="361">
        <v>5</v>
      </c>
      <c r="T154" s="361">
        <v>1</v>
      </c>
      <c r="U154" s="918">
        <v>247.5</v>
      </c>
      <c r="V154" s="120">
        <v>44276</v>
      </c>
      <c r="W154" s="115" t="s">
        <v>1338</v>
      </c>
      <c r="X154" s="115" t="s">
        <v>1154</v>
      </c>
      <c r="Y154" s="115"/>
      <c r="Z154" s="115"/>
    </row>
    <row r="155" spans="1:26" s="21" customFormat="1" ht="12" customHeight="1">
      <c r="A155" s="1250" t="s">
        <v>2905</v>
      </c>
      <c r="B155" s="924" t="s">
        <v>2906</v>
      </c>
      <c r="C155" s="924">
        <v>45584</v>
      </c>
      <c r="D155" s="924">
        <v>45591</v>
      </c>
      <c r="E155" s="923" t="s">
        <v>3610</v>
      </c>
      <c r="F155" s="923"/>
      <c r="G155" s="925" t="s">
        <v>3611</v>
      </c>
      <c r="H155" s="923" t="s">
        <v>720</v>
      </c>
      <c r="I155" s="923" t="s">
        <v>18</v>
      </c>
      <c r="J155" s="923" t="s">
        <v>51</v>
      </c>
      <c r="K155" s="926"/>
      <c r="L155" s="961" t="s">
        <v>3612</v>
      </c>
      <c r="M155" s="923"/>
      <c r="N155" s="121" t="s">
        <v>2910</v>
      </c>
      <c r="O155" s="1195">
        <f>1290</f>
        <v>1290</v>
      </c>
      <c r="P155" s="923"/>
      <c r="Q155" s="923" t="s">
        <v>3613</v>
      </c>
      <c r="R155" s="1196">
        <v>1</v>
      </c>
      <c r="S155" s="925">
        <v>5</v>
      </c>
      <c r="T155" s="925">
        <v>1</v>
      </c>
      <c r="U155" s="1197" t="s">
        <v>3645</v>
      </c>
      <c r="V155" s="929">
        <v>45182</v>
      </c>
      <c r="W155" s="923" t="s">
        <v>1519</v>
      </c>
      <c r="X155" s="923"/>
      <c r="Y155" s="923"/>
      <c r="Z155" s="923"/>
    </row>
    <row r="156" spans="1:26" s="21" customFormat="1" ht="12" customHeight="1">
      <c r="A156" s="383" t="s">
        <v>1834</v>
      </c>
      <c r="B156" s="383" t="s">
        <v>1835</v>
      </c>
      <c r="C156" s="384">
        <v>43386</v>
      </c>
      <c r="D156" s="384">
        <v>43393</v>
      </c>
      <c r="E156" s="383" t="s">
        <v>1836</v>
      </c>
      <c r="F156" s="383"/>
      <c r="G156" s="385" t="s">
        <v>1837</v>
      </c>
      <c r="H156" s="386" t="s">
        <v>1838</v>
      </c>
      <c r="I156" s="383" t="s">
        <v>18</v>
      </c>
      <c r="J156" s="383" t="s">
        <v>51</v>
      </c>
      <c r="K156" s="383"/>
      <c r="L156" s="387" t="s">
        <v>1839</v>
      </c>
      <c r="M156" s="383"/>
      <c r="N156" s="863" t="s">
        <v>1840</v>
      </c>
      <c r="O156" s="1038"/>
      <c r="P156" s="383"/>
      <c r="Q156" s="383" t="s">
        <v>1841</v>
      </c>
      <c r="R156" s="892"/>
      <c r="S156" s="385">
        <v>5</v>
      </c>
      <c r="T156" s="385">
        <v>2</v>
      </c>
      <c r="U156" s="609"/>
      <c r="V156" s="391">
        <v>43046</v>
      </c>
      <c r="W156" s="383"/>
      <c r="X156" s="383" t="s">
        <v>1154</v>
      </c>
      <c r="Y156" s="383"/>
      <c r="Z156" s="383"/>
    </row>
    <row r="157" spans="1:26" s="21" customFormat="1" ht="12" customHeight="1">
      <c r="A157" s="21" t="s">
        <v>718</v>
      </c>
      <c r="B157" s="21" t="s">
        <v>328</v>
      </c>
      <c r="C157" s="30">
        <v>40789</v>
      </c>
      <c r="D157" s="30">
        <v>40803</v>
      </c>
      <c r="E157" s="21" t="s">
        <v>719</v>
      </c>
      <c r="G157" s="764">
        <v>40213</v>
      </c>
      <c r="H157" s="21" t="s">
        <v>720</v>
      </c>
      <c r="I157" s="21" t="s">
        <v>18</v>
      </c>
      <c r="J157" s="21" t="s">
        <v>51</v>
      </c>
      <c r="K157" s="21" t="s">
        <v>763</v>
      </c>
      <c r="N157" s="50" t="s">
        <v>721</v>
      </c>
      <c r="O157" s="1013">
        <f>2480+70</f>
        <v>2550</v>
      </c>
      <c r="Q157" s="21" t="s">
        <v>199</v>
      </c>
      <c r="R157" s="876">
        <v>2</v>
      </c>
      <c r="S157" s="764">
        <v>2</v>
      </c>
      <c r="T157" s="764">
        <v>2</v>
      </c>
      <c r="U157" s="23">
        <v>620</v>
      </c>
      <c r="V157" s="78"/>
    </row>
    <row r="158" spans="1:26" s="21" customFormat="1" ht="12" customHeight="1">
      <c r="A158" s="1136" t="s">
        <v>3088</v>
      </c>
      <c r="B158" s="1136" t="s">
        <v>1174</v>
      </c>
      <c r="C158" s="1137">
        <v>44765</v>
      </c>
      <c r="D158" s="1137">
        <v>44779</v>
      </c>
      <c r="E158" s="1138" t="s">
        <v>3089</v>
      </c>
      <c r="F158" s="1136"/>
      <c r="G158" s="1139" t="s">
        <v>3090</v>
      </c>
      <c r="H158" s="1138" t="s">
        <v>3091</v>
      </c>
      <c r="I158" s="1136" t="s">
        <v>18</v>
      </c>
      <c r="J158" s="1136" t="s">
        <v>51</v>
      </c>
      <c r="K158" s="1136"/>
      <c r="L158" s="1138" t="s">
        <v>3092</v>
      </c>
      <c r="M158" s="1136"/>
      <c r="N158" s="1140" t="s">
        <v>3093</v>
      </c>
      <c r="O158" s="1141">
        <f>1990*2+3*14*2+70</f>
        <v>4134</v>
      </c>
      <c r="P158" s="1136"/>
      <c r="Q158" s="1136" t="s">
        <v>3094</v>
      </c>
      <c r="R158" s="1142">
        <v>2</v>
      </c>
      <c r="S158" s="1139">
        <v>4</v>
      </c>
      <c r="T158" s="1139">
        <v>2</v>
      </c>
      <c r="U158" s="1143">
        <v>1016</v>
      </c>
      <c r="V158" s="1199">
        <v>44516</v>
      </c>
      <c r="W158" s="1136" t="s">
        <v>1477</v>
      </c>
      <c r="X158" s="1136" t="s">
        <v>1154</v>
      </c>
      <c r="Y158" s="1136"/>
      <c r="Z158" s="1136"/>
    </row>
    <row r="159" spans="1:26" s="21" customFormat="1" ht="12" customHeight="1">
      <c r="A159" s="115" t="s">
        <v>1633</v>
      </c>
      <c r="B159" s="115" t="s">
        <v>1634</v>
      </c>
      <c r="C159" s="116">
        <v>42734</v>
      </c>
      <c r="D159" s="116">
        <v>42742</v>
      </c>
      <c r="E159" s="115" t="s">
        <v>1635</v>
      </c>
      <c r="F159" s="115"/>
      <c r="G159" s="361" t="s">
        <v>1636</v>
      </c>
      <c r="H159" s="115" t="s">
        <v>1637</v>
      </c>
      <c r="I159" s="115" t="s">
        <v>18</v>
      </c>
      <c r="J159" s="115" t="s">
        <v>51</v>
      </c>
      <c r="K159" s="115"/>
      <c r="L159" s="115" t="s">
        <v>1638</v>
      </c>
      <c r="M159" s="115"/>
      <c r="N159" s="128"/>
      <c r="O159" s="1027">
        <v>970</v>
      </c>
      <c r="P159" s="115"/>
      <c r="Q159" s="115" t="s">
        <v>1640</v>
      </c>
      <c r="R159" s="682">
        <v>1</v>
      </c>
      <c r="S159" s="361" t="s">
        <v>1343</v>
      </c>
      <c r="T159" s="361">
        <v>1</v>
      </c>
      <c r="U159" s="119">
        <v>250</v>
      </c>
      <c r="V159" s="120">
        <v>42716</v>
      </c>
      <c r="W159" s="115" t="s">
        <v>1641</v>
      </c>
      <c r="X159" s="115" t="s">
        <v>1217</v>
      </c>
      <c r="Y159" s="115"/>
      <c r="Z159" s="115"/>
    </row>
    <row r="160" spans="1:26" s="21" customFormat="1" ht="12" customHeight="1">
      <c r="A160" s="115" t="s">
        <v>2765</v>
      </c>
      <c r="B160" s="115" t="s">
        <v>2488</v>
      </c>
      <c r="C160" s="116">
        <v>44436</v>
      </c>
      <c r="D160" s="116">
        <v>44443</v>
      </c>
      <c r="E160" s="115" t="s">
        <v>2766</v>
      </c>
      <c r="F160" s="115"/>
      <c r="G160" s="361" t="s">
        <v>2767</v>
      </c>
      <c r="H160" s="115" t="s">
        <v>2768</v>
      </c>
      <c r="I160" s="115" t="s">
        <v>18</v>
      </c>
      <c r="J160" s="115" t="s">
        <v>51</v>
      </c>
      <c r="K160" s="124"/>
      <c r="L160" s="115" t="s">
        <v>2769</v>
      </c>
      <c r="M160" s="115"/>
      <c r="N160" s="128" t="s">
        <v>2770</v>
      </c>
      <c r="O160" s="1027">
        <v>1990</v>
      </c>
      <c r="P160" s="115"/>
      <c r="Q160" s="115" t="s">
        <v>2771</v>
      </c>
      <c r="R160" s="682">
        <v>1</v>
      </c>
      <c r="S160" s="361">
        <v>4</v>
      </c>
      <c r="T160" s="361">
        <v>3</v>
      </c>
      <c r="U160" s="918">
        <v>497.5</v>
      </c>
      <c r="V160" s="120">
        <v>44131</v>
      </c>
      <c r="W160" s="115" t="s">
        <v>1477</v>
      </c>
      <c r="X160" s="115" t="s">
        <v>1154</v>
      </c>
      <c r="Y160" s="115"/>
      <c r="Z160" s="115"/>
    </row>
    <row r="161" spans="1:26" s="21" customFormat="1" ht="12" customHeight="1">
      <c r="A161" s="1255" t="s">
        <v>3140</v>
      </c>
      <c r="B161" s="1069" t="s">
        <v>3139</v>
      </c>
      <c r="C161" s="1070">
        <v>44599</v>
      </c>
      <c r="D161" s="1070">
        <v>44606</v>
      </c>
      <c r="E161" s="1069" t="s">
        <v>3142</v>
      </c>
      <c r="F161" s="1069"/>
      <c r="G161" s="1071" t="s">
        <v>3143</v>
      </c>
      <c r="H161" s="1069" t="s">
        <v>3144</v>
      </c>
      <c r="I161" s="1069" t="s">
        <v>18</v>
      </c>
      <c r="J161" s="1069" t="s">
        <v>51</v>
      </c>
      <c r="K161" s="1072"/>
      <c r="L161" s="1069" t="s">
        <v>3141</v>
      </c>
      <c r="M161" s="1069"/>
      <c r="N161" s="1073" t="s">
        <v>3138</v>
      </c>
      <c r="O161" s="1074">
        <f>890+21</f>
        <v>911</v>
      </c>
      <c r="P161" s="1069"/>
      <c r="Q161" s="1069" t="s">
        <v>2674</v>
      </c>
      <c r="R161" s="1075">
        <v>1</v>
      </c>
      <c r="S161" s="1071">
        <v>2</v>
      </c>
      <c r="T161" s="1071">
        <v>1</v>
      </c>
      <c r="U161" s="1076">
        <v>0</v>
      </c>
      <c r="V161" s="1176">
        <v>44592</v>
      </c>
      <c r="W161" s="1069" t="s">
        <v>1338</v>
      </c>
      <c r="X161" s="1069" t="s">
        <v>1154</v>
      </c>
      <c r="Y161" s="1069"/>
      <c r="Z161" s="1069"/>
    </row>
    <row r="162" spans="1:26" s="21" customFormat="1" ht="12" customHeight="1">
      <c r="A162" s="21" t="s">
        <v>1134</v>
      </c>
      <c r="B162" s="21" t="s">
        <v>1133</v>
      </c>
      <c r="C162" s="30">
        <v>41475</v>
      </c>
      <c r="D162" s="30">
        <v>41482</v>
      </c>
      <c r="E162" s="21" t="s">
        <v>1139</v>
      </c>
      <c r="G162" s="764" t="s">
        <v>1140</v>
      </c>
      <c r="H162" s="21" t="s">
        <v>1141</v>
      </c>
      <c r="I162" s="21" t="s">
        <v>18</v>
      </c>
      <c r="J162" s="21" t="s">
        <v>51</v>
      </c>
      <c r="K162" s="807" t="s">
        <v>1135</v>
      </c>
      <c r="L162" s="21" t="s">
        <v>1136</v>
      </c>
      <c r="N162" s="50"/>
      <c r="O162" s="1013">
        <v>1790</v>
      </c>
      <c r="R162" s="876">
        <v>1</v>
      </c>
      <c r="S162" s="764" t="s">
        <v>1138</v>
      </c>
      <c r="T162" s="764">
        <v>2</v>
      </c>
      <c r="U162" s="75">
        <v>547.5</v>
      </c>
      <c r="V162" s="78">
        <v>41427</v>
      </c>
      <c r="W162" s="21" t="s">
        <v>1052</v>
      </c>
      <c r="X162" s="100">
        <f>O162-U162</f>
        <v>1242.5</v>
      </c>
    </row>
    <row r="163" spans="1:26" s="67" customFormat="1" ht="12" customHeight="1">
      <c r="A163" s="21" t="s">
        <v>644</v>
      </c>
      <c r="B163" s="21" t="s">
        <v>396</v>
      </c>
      <c r="C163" s="30">
        <v>40334</v>
      </c>
      <c r="D163" s="30">
        <v>40348</v>
      </c>
      <c r="E163" s="21" t="s">
        <v>645</v>
      </c>
      <c r="F163" s="21"/>
      <c r="G163" s="764" t="s">
        <v>646</v>
      </c>
      <c r="H163" s="21" t="s">
        <v>647</v>
      </c>
      <c r="I163" s="21" t="s">
        <v>18</v>
      </c>
      <c r="J163" s="21" t="s">
        <v>51</v>
      </c>
      <c r="K163" s="21" t="s">
        <v>648</v>
      </c>
      <c r="L163" s="21" t="s">
        <v>649</v>
      </c>
      <c r="M163" s="21"/>
      <c r="N163" s="51"/>
      <c r="O163" s="1020">
        <f>1700+70+60</f>
        <v>1830</v>
      </c>
      <c r="P163" s="21"/>
      <c r="Q163" s="21" t="s">
        <v>599</v>
      </c>
      <c r="R163" s="876">
        <v>2</v>
      </c>
      <c r="S163" s="764">
        <v>2</v>
      </c>
      <c r="T163" s="764"/>
      <c r="U163" s="47">
        <v>425</v>
      </c>
      <c r="V163" s="78"/>
      <c r="W163" s="21"/>
      <c r="X163" s="21"/>
      <c r="Y163" s="21"/>
      <c r="Z163" s="21"/>
    </row>
    <row r="164" spans="1:26" s="21" customFormat="1" ht="12" customHeight="1">
      <c r="A164" s="21" t="s">
        <v>1157</v>
      </c>
      <c r="B164" s="21" t="s">
        <v>1158</v>
      </c>
      <c r="C164" s="30">
        <v>41503</v>
      </c>
      <c r="D164" s="30">
        <v>41510</v>
      </c>
      <c r="E164" s="21" t="s">
        <v>1159</v>
      </c>
      <c r="G164" s="764" t="s">
        <v>1160</v>
      </c>
      <c r="H164" s="21" t="s">
        <v>1161</v>
      </c>
      <c r="I164" s="21" t="s">
        <v>18</v>
      </c>
      <c r="J164" s="21" t="s">
        <v>1023</v>
      </c>
      <c r="K164" s="21" t="s">
        <v>1162</v>
      </c>
      <c r="L164" s="21" t="s">
        <v>1163</v>
      </c>
      <c r="N164" s="50"/>
      <c r="O164" s="1013">
        <f>1390+70</f>
        <v>1460</v>
      </c>
      <c r="Q164" s="21" t="s">
        <v>1165</v>
      </c>
      <c r="R164" s="876">
        <v>2</v>
      </c>
      <c r="S164" s="764" t="s">
        <v>1025</v>
      </c>
      <c r="T164" s="764"/>
      <c r="U164" s="75">
        <f>2480/4</f>
        <v>620</v>
      </c>
      <c r="V164" s="78">
        <v>41207</v>
      </c>
    </row>
    <row r="165" spans="1:26" s="21" customFormat="1" ht="12" customHeight="1">
      <c r="A165" s="115" t="s">
        <v>2513</v>
      </c>
      <c r="B165" s="115" t="s">
        <v>2512</v>
      </c>
      <c r="C165" s="116">
        <v>44044</v>
      </c>
      <c r="D165" s="116">
        <v>44058</v>
      </c>
      <c r="E165" s="115" t="s">
        <v>2514</v>
      </c>
      <c r="F165" s="115"/>
      <c r="G165" s="361"/>
      <c r="H165" s="364"/>
      <c r="I165" s="115" t="s">
        <v>168</v>
      </c>
      <c r="J165" s="115" t="s">
        <v>51</v>
      </c>
      <c r="K165" s="115"/>
      <c r="L165" s="124" t="s">
        <v>2515</v>
      </c>
      <c r="M165" s="115"/>
      <c r="N165" s="128" t="s">
        <v>2516</v>
      </c>
      <c r="O165" s="1027">
        <f>1990*2</f>
        <v>3980</v>
      </c>
      <c r="P165" s="115"/>
      <c r="Q165" s="115" t="s">
        <v>2502</v>
      </c>
      <c r="R165" s="682">
        <v>2</v>
      </c>
      <c r="S165" s="361">
        <v>4</v>
      </c>
      <c r="T165" s="361">
        <v>1</v>
      </c>
      <c r="U165" s="119" t="s">
        <v>2528</v>
      </c>
      <c r="V165" s="120"/>
      <c r="W165" s="115" t="s">
        <v>1338</v>
      </c>
      <c r="X165" s="115" t="s">
        <v>1154</v>
      </c>
      <c r="Y165" s="115"/>
      <c r="Z165" s="115"/>
    </row>
    <row r="166" spans="1:26" s="21" customFormat="1" ht="12" customHeight="1">
      <c r="A166" s="61" t="s">
        <v>755</v>
      </c>
      <c r="B166" s="61" t="s">
        <v>756</v>
      </c>
      <c r="C166" s="62">
        <v>40705</v>
      </c>
      <c r="D166" s="62">
        <v>40719</v>
      </c>
      <c r="E166" s="61" t="s">
        <v>757</v>
      </c>
      <c r="F166" s="61"/>
      <c r="G166" s="802" t="s">
        <v>758</v>
      </c>
      <c r="H166" s="61" t="s">
        <v>759</v>
      </c>
      <c r="I166" s="61" t="s">
        <v>18</v>
      </c>
      <c r="J166" s="61" t="s">
        <v>51</v>
      </c>
      <c r="K166" s="61" t="s">
        <v>761</v>
      </c>
      <c r="L166" s="61"/>
      <c r="M166" s="61"/>
      <c r="N166" s="63" t="s">
        <v>760</v>
      </c>
      <c r="O166" s="1022">
        <f>1434+70</f>
        <v>1504</v>
      </c>
      <c r="P166" s="61"/>
      <c r="Q166" s="61" t="s">
        <v>762</v>
      </c>
      <c r="R166" s="882">
        <v>1</v>
      </c>
      <c r="S166" s="802">
        <v>4</v>
      </c>
      <c r="T166" s="802">
        <v>0</v>
      </c>
      <c r="U166" s="72">
        <v>358.5</v>
      </c>
      <c r="V166" s="1601"/>
      <c r="W166" s="61"/>
      <c r="X166" s="61"/>
      <c r="Y166" s="61"/>
      <c r="Z166" s="61"/>
    </row>
    <row r="167" spans="1:26" s="21" customFormat="1" ht="12" customHeight="1">
      <c r="A167" s="115" t="s">
        <v>2685</v>
      </c>
      <c r="B167" s="115" t="s">
        <v>2686</v>
      </c>
      <c r="C167" s="116">
        <v>44387</v>
      </c>
      <c r="D167" s="116">
        <v>44408</v>
      </c>
      <c r="E167" s="115" t="s">
        <v>2687</v>
      </c>
      <c r="F167" s="115"/>
      <c r="G167" s="361" t="s">
        <v>2688</v>
      </c>
      <c r="H167" s="115" t="s">
        <v>2689</v>
      </c>
      <c r="I167" s="115" t="s">
        <v>18</v>
      </c>
      <c r="J167" s="115" t="s">
        <v>51</v>
      </c>
      <c r="K167" s="124" t="s">
        <v>2690</v>
      </c>
      <c r="L167" s="115" t="s">
        <v>2691</v>
      </c>
      <c r="M167" s="115"/>
      <c r="N167" s="363" t="s">
        <v>2692</v>
      </c>
      <c r="O167" s="1027">
        <f>1990*3</f>
        <v>5970</v>
      </c>
      <c r="P167" s="115"/>
      <c r="Q167" s="115" t="s">
        <v>1879</v>
      </c>
      <c r="R167" s="682">
        <v>3</v>
      </c>
      <c r="S167" s="361">
        <v>4</v>
      </c>
      <c r="T167" s="361">
        <v>1</v>
      </c>
      <c r="U167" s="918">
        <v>1492.5</v>
      </c>
      <c r="V167" s="120">
        <v>44438</v>
      </c>
      <c r="W167" s="115" t="s">
        <v>1769</v>
      </c>
      <c r="X167" s="115" t="s">
        <v>1154</v>
      </c>
      <c r="Y167" s="115"/>
      <c r="Z167" s="115"/>
    </row>
    <row r="168" spans="1:26" s="21" customFormat="1" ht="12" customHeight="1">
      <c r="A168" s="505" t="s">
        <v>3940</v>
      </c>
      <c r="B168" s="115" t="s">
        <v>11</v>
      </c>
      <c r="C168" s="116">
        <v>45036</v>
      </c>
      <c r="D168" s="116">
        <v>45043</v>
      </c>
      <c r="E168" s="115" t="s">
        <v>3941</v>
      </c>
      <c r="F168" s="115"/>
      <c r="G168" s="361" t="s">
        <v>3943</v>
      </c>
      <c r="H168" s="115" t="s">
        <v>3942</v>
      </c>
      <c r="I168" s="115" t="s">
        <v>18</v>
      </c>
      <c r="J168" s="115" t="s">
        <v>51</v>
      </c>
      <c r="K168" s="115"/>
      <c r="L168" s="115"/>
      <c r="M168" s="115"/>
      <c r="N168" s="121" t="s">
        <v>3944</v>
      </c>
      <c r="O168" s="1027">
        <v>1390</v>
      </c>
      <c r="P168" s="115"/>
      <c r="Q168" s="115" t="s">
        <v>3945</v>
      </c>
      <c r="R168" s="682">
        <v>1</v>
      </c>
      <c r="S168" s="361">
        <v>1</v>
      </c>
      <c r="T168" s="361">
        <v>3</v>
      </c>
      <c r="U168" s="119" t="s">
        <v>3946</v>
      </c>
      <c r="V168" s="120">
        <v>45357</v>
      </c>
      <c r="W168" s="115" t="s">
        <v>1769</v>
      </c>
      <c r="X168" s="115" t="s">
        <v>1154</v>
      </c>
      <c r="Y168" s="115"/>
      <c r="Z168" s="115"/>
    </row>
    <row r="169" spans="1:26" ht="12" customHeight="1">
      <c r="A169" s="21" t="s">
        <v>372</v>
      </c>
      <c r="B169" s="21"/>
      <c r="C169" s="30">
        <v>39606</v>
      </c>
      <c r="D169" s="30">
        <v>39613</v>
      </c>
      <c r="E169" s="21" t="s">
        <v>373</v>
      </c>
      <c r="F169" s="21"/>
      <c r="G169" s="764" t="s">
        <v>374</v>
      </c>
      <c r="H169" s="21"/>
      <c r="I169" s="21" t="s">
        <v>18</v>
      </c>
      <c r="J169" s="21" t="s">
        <v>51</v>
      </c>
      <c r="K169" s="21"/>
      <c r="L169" s="21" t="s">
        <v>375</v>
      </c>
      <c r="M169" s="21"/>
      <c r="N169" s="51" t="s">
        <v>376</v>
      </c>
      <c r="O169" s="1013">
        <v>900</v>
      </c>
      <c r="P169" s="21"/>
      <c r="Q169" s="21"/>
      <c r="R169" s="876">
        <v>1</v>
      </c>
      <c r="S169" s="764">
        <v>2</v>
      </c>
      <c r="T169" s="764">
        <v>1</v>
      </c>
      <c r="U169" s="23">
        <v>225</v>
      </c>
      <c r="V169" s="78"/>
      <c r="W169" s="21"/>
      <c r="X169" s="21"/>
      <c r="Y169" s="21"/>
      <c r="Z169" s="21"/>
    </row>
    <row r="170" spans="1:26" ht="12" customHeight="1">
      <c r="A170" s="21" t="s">
        <v>595</v>
      </c>
      <c r="B170" s="21" t="s">
        <v>596</v>
      </c>
      <c r="C170" s="30">
        <v>40306</v>
      </c>
      <c r="D170" s="30">
        <v>40320</v>
      </c>
      <c r="E170" s="21"/>
      <c r="F170" s="21"/>
      <c r="G170" s="764"/>
      <c r="H170" s="21"/>
      <c r="I170" s="21" t="s">
        <v>18</v>
      </c>
      <c r="J170" s="21" t="s">
        <v>51</v>
      </c>
      <c r="K170" s="21" t="s">
        <v>597</v>
      </c>
      <c r="L170" s="21"/>
      <c r="M170" s="21"/>
      <c r="N170" s="51" t="s">
        <v>598</v>
      </c>
      <c r="O170" s="1013">
        <f>1580+70+84</f>
        <v>1734</v>
      </c>
      <c r="P170" s="21"/>
      <c r="Q170" s="21" t="s">
        <v>599</v>
      </c>
      <c r="R170" s="876">
        <v>2</v>
      </c>
      <c r="S170" s="764">
        <v>3</v>
      </c>
      <c r="T170" s="764">
        <v>2</v>
      </c>
      <c r="U170" s="48">
        <v>395</v>
      </c>
      <c r="V170" s="78"/>
      <c r="W170" s="21"/>
      <c r="X170" s="21"/>
      <c r="Y170" s="21"/>
      <c r="Z170" s="21"/>
    </row>
    <row r="171" spans="1:26" ht="12" customHeight="1">
      <c r="A171" s="355" t="s">
        <v>1892</v>
      </c>
      <c r="B171" s="355" t="s">
        <v>406</v>
      </c>
      <c r="C171" s="357">
        <v>43309</v>
      </c>
      <c r="D171" s="357">
        <v>43316</v>
      </c>
      <c r="E171" s="355" t="s">
        <v>1893</v>
      </c>
      <c r="F171" s="355"/>
      <c r="G171" s="358" t="s">
        <v>1894</v>
      </c>
      <c r="H171" s="355" t="s">
        <v>1895</v>
      </c>
      <c r="I171" s="355" t="s">
        <v>18</v>
      </c>
      <c r="J171" s="355" t="s">
        <v>1023</v>
      </c>
      <c r="K171" s="355" t="s">
        <v>1896</v>
      </c>
      <c r="L171" s="355" t="s">
        <v>1897</v>
      </c>
      <c r="M171" s="355"/>
      <c r="N171" s="365" t="s">
        <v>1898</v>
      </c>
      <c r="O171" s="1036">
        <f>1990+63</f>
        <v>2053</v>
      </c>
      <c r="P171" s="355"/>
      <c r="Q171" s="355" t="s">
        <v>1899</v>
      </c>
      <c r="R171" s="891">
        <v>1</v>
      </c>
      <c r="S171" s="358">
        <v>4</v>
      </c>
      <c r="T171" s="358">
        <v>3</v>
      </c>
      <c r="U171" s="356" t="s">
        <v>1932</v>
      </c>
      <c r="V171" s="360"/>
      <c r="W171" s="355"/>
      <c r="X171" s="355"/>
      <c r="Y171" s="355"/>
      <c r="Z171" s="355"/>
    </row>
    <row r="172" spans="1:26" ht="12" customHeight="1">
      <c r="A172" s="115" t="s">
        <v>3503</v>
      </c>
      <c r="B172" s="115" t="s">
        <v>3502</v>
      </c>
      <c r="C172" s="116">
        <v>45409</v>
      </c>
      <c r="D172" s="116">
        <v>45423</v>
      </c>
      <c r="E172" s="115" t="s">
        <v>3501</v>
      </c>
      <c r="F172" s="115"/>
      <c r="G172" s="361" t="s">
        <v>3505</v>
      </c>
      <c r="H172" s="115" t="s">
        <v>3504</v>
      </c>
      <c r="I172" s="115" t="s">
        <v>18</v>
      </c>
      <c r="J172" s="115" t="s">
        <v>51</v>
      </c>
      <c r="K172" s="115"/>
      <c r="L172" s="115" t="s">
        <v>3506</v>
      </c>
      <c r="M172" s="115"/>
      <c r="N172" s="128" t="s">
        <v>3507</v>
      </c>
      <c r="O172" s="1027">
        <f>1290*2</f>
        <v>2580</v>
      </c>
      <c r="P172" s="115"/>
      <c r="Q172" s="115" t="s">
        <v>1192</v>
      </c>
      <c r="R172" s="682">
        <v>2</v>
      </c>
      <c r="S172" s="361">
        <v>2</v>
      </c>
      <c r="T172" s="361">
        <v>2</v>
      </c>
      <c r="U172" s="119">
        <f>2580/4</f>
        <v>645</v>
      </c>
      <c r="V172" s="120">
        <v>45060</v>
      </c>
      <c r="W172" s="115" t="s">
        <v>1813</v>
      </c>
      <c r="X172" s="115" t="s">
        <v>1154</v>
      </c>
      <c r="Y172" s="115" t="s">
        <v>3515</v>
      </c>
      <c r="Z172" s="115"/>
    </row>
    <row r="173" spans="1:26" ht="12" customHeight="1">
      <c r="A173" s="115" t="s">
        <v>1594</v>
      </c>
      <c r="B173" s="115" t="s">
        <v>1595</v>
      </c>
      <c r="C173" s="116">
        <v>42994</v>
      </c>
      <c r="D173" s="116">
        <v>43001</v>
      </c>
      <c r="E173" s="115"/>
      <c r="F173" s="115"/>
      <c r="G173" s="361"/>
      <c r="H173" s="115" t="s">
        <v>239</v>
      </c>
      <c r="I173" s="115" t="s">
        <v>18</v>
      </c>
      <c r="J173" s="115" t="s">
        <v>51</v>
      </c>
      <c r="K173" s="115"/>
      <c r="L173" s="115" t="s">
        <v>1617</v>
      </c>
      <c r="M173" s="115"/>
      <c r="N173" s="128"/>
      <c r="O173" s="1027">
        <v>700</v>
      </c>
      <c r="P173" s="115"/>
      <c r="Q173" s="115" t="s">
        <v>1618</v>
      </c>
      <c r="R173" s="682">
        <v>1</v>
      </c>
      <c r="S173" s="361" t="s">
        <v>1401</v>
      </c>
      <c r="T173" s="361">
        <v>1</v>
      </c>
      <c r="U173" s="119" t="s">
        <v>1721</v>
      </c>
      <c r="V173" s="120"/>
      <c r="W173" s="115"/>
      <c r="X173" s="115"/>
      <c r="Y173" s="115"/>
      <c r="Z173" s="115"/>
    </row>
    <row r="174" spans="1:26" ht="12" customHeight="1">
      <c r="A174" s="21" t="s">
        <v>810</v>
      </c>
      <c r="B174" s="21" t="s">
        <v>24</v>
      </c>
      <c r="C174" s="30">
        <v>40902</v>
      </c>
      <c r="D174" s="30">
        <v>40909</v>
      </c>
      <c r="E174" s="21"/>
      <c r="F174" s="21"/>
      <c r="G174" s="764"/>
      <c r="H174" s="21" t="s">
        <v>814</v>
      </c>
      <c r="I174" s="21" t="s">
        <v>18</v>
      </c>
      <c r="J174" s="21" t="s">
        <v>51</v>
      </c>
      <c r="K174" s="21" t="s">
        <v>811</v>
      </c>
      <c r="L174" s="21" t="s">
        <v>812</v>
      </c>
      <c r="M174" s="21"/>
      <c r="N174" s="50" t="s">
        <v>815</v>
      </c>
      <c r="O174" s="1013">
        <f>1050+42+70</f>
        <v>1162</v>
      </c>
      <c r="P174" s="21"/>
      <c r="Q174" s="21" t="s">
        <v>813</v>
      </c>
      <c r="R174" s="876">
        <v>1</v>
      </c>
      <c r="S174" s="764">
        <v>2</v>
      </c>
      <c r="T174" s="764">
        <v>2</v>
      </c>
      <c r="U174" s="23">
        <v>290.5</v>
      </c>
      <c r="V174" s="78"/>
      <c r="W174" s="21"/>
      <c r="X174" s="21"/>
      <c r="Y174" s="21"/>
      <c r="Z174" s="21"/>
    </row>
    <row r="175" spans="1:26" ht="12" customHeight="1">
      <c r="A175" s="20" t="s">
        <v>810</v>
      </c>
      <c r="B175" s="21" t="s">
        <v>1113</v>
      </c>
      <c r="C175" s="30">
        <v>41461</v>
      </c>
      <c r="D175" s="30">
        <v>41475</v>
      </c>
      <c r="E175" s="21" t="s">
        <v>1114</v>
      </c>
      <c r="F175" s="21"/>
      <c r="G175" s="764" t="s">
        <v>1115</v>
      </c>
      <c r="H175" s="21" t="s">
        <v>1116</v>
      </c>
      <c r="I175" s="21" t="s">
        <v>18</v>
      </c>
      <c r="J175" s="21" t="s">
        <v>51</v>
      </c>
      <c r="K175" s="21" t="s">
        <v>1117</v>
      </c>
      <c r="L175" s="21" t="s">
        <v>1118</v>
      </c>
      <c r="M175" s="21"/>
      <c r="N175" s="50" t="s">
        <v>1112</v>
      </c>
      <c r="O175" s="1013">
        <v>3000</v>
      </c>
      <c r="P175" s="21"/>
      <c r="Q175" s="21"/>
      <c r="R175" s="876">
        <v>2</v>
      </c>
      <c r="S175" s="764" t="s">
        <v>1119</v>
      </c>
      <c r="T175" s="764"/>
      <c r="U175" s="75">
        <v>750</v>
      </c>
      <c r="V175" s="78">
        <v>41364</v>
      </c>
      <c r="W175" s="21" t="s">
        <v>1071</v>
      </c>
      <c r="X175" s="21"/>
      <c r="Y175" s="21"/>
      <c r="Z175" s="21"/>
    </row>
    <row r="176" spans="1:26" ht="12" customHeight="1">
      <c r="A176" s="498" t="s">
        <v>2179</v>
      </c>
      <c r="B176" s="498" t="s">
        <v>2180</v>
      </c>
      <c r="C176" s="499">
        <v>43736</v>
      </c>
      <c r="D176" s="499">
        <v>43743</v>
      </c>
      <c r="E176" s="498" t="s">
        <v>2181</v>
      </c>
      <c r="F176" s="498"/>
      <c r="G176" s="500" t="s">
        <v>1992</v>
      </c>
      <c r="H176" s="498"/>
      <c r="I176" s="498" t="s">
        <v>18</v>
      </c>
      <c r="J176" s="498" t="s">
        <v>1023</v>
      </c>
      <c r="K176" s="498"/>
      <c r="L176" s="498" t="s">
        <v>2182</v>
      </c>
      <c r="M176" s="498"/>
      <c r="N176" s="868" t="s">
        <v>2183</v>
      </c>
      <c r="O176" s="1040">
        <f>990+42</f>
        <v>1032</v>
      </c>
      <c r="P176" s="498"/>
      <c r="Q176" s="498" t="s">
        <v>2372</v>
      </c>
      <c r="R176" s="894">
        <v>1</v>
      </c>
      <c r="S176" s="500">
        <v>2</v>
      </c>
      <c r="T176" s="500">
        <v>2</v>
      </c>
      <c r="U176" s="503" t="s">
        <v>2354</v>
      </c>
      <c r="V176" s="504">
        <v>43461</v>
      </c>
      <c r="W176" s="498"/>
      <c r="X176" s="498"/>
      <c r="Y176" s="498"/>
      <c r="Z176" s="498"/>
    </row>
    <row r="177" spans="1:26" ht="12" customHeight="1">
      <c r="A177" s="115" t="s">
        <v>1778</v>
      </c>
      <c r="B177" s="115" t="s">
        <v>1779</v>
      </c>
      <c r="C177" s="116">
        <v>43008</v>
      </c>
      <c r="D177" s="116">
        <v>43022</v>
      </c>
      <c r="E177" s="115" t="s">
        <v>1780</v>
      </c>
      <c r="F177" s="115"/>
      <c r="G177" s="361" t="s">
        <v>1781</v>
      </c>
      <c r="H177" s="115" t="s">
        <v>1782</v>
      </c>
      <c r="I177" s="115" t="s">
        <v>18</v>
      </c>
      <c r="J177" s="115" t="s">
        <v>51</v>
      </c>
      <c r="K177" s="115" t="s">
        <v>1784</v>
      </c>
      <c r="L177" s="115" t="s">
        <v>1783</v>
      </c>
      <c r="M177" s="115"/>
      <c r="N177" s="128" t="s">
        <v>1785</v>
      </c>
      <c r="O177" s="1027">
        <v>1680</v>
      </c>
      <c r="P177" s="115"/>
      <c r="Q177" s="115" t="s">
        <v>1786</v>
      </c>
      <c r="R177" s="682">
        <v>2</v>
      </c>
      <c r="S177" s="361">
        <v>2</v>
      </c>
      <c r="T177" s="361">
        <v>3</v>
      </c>
      <c r="U177" s="119">
        <v>420</v>
      </c>
      <c r="V177" s="120"/>
      <c r="W177" s="115" t="s">
        <v>1760</v>
      </c>
      <c r="X177" s="115"/>
      <c r="Y177" s="115"/>
      <c r="Z177" s="115"/>
    </row>
    <row r="178" spans="1:26" ht="12" customHeight="1">
      <c r="A178" s="689" t="s">
        <v>2242</v>
      </c>
      <c r="B178" s="689" t="s">
        <v>2243</v>
      </c>
      <c r="C178" s="690">
        <v>43988</v>
      </c>
      <c r="D178" s="690">
        <v>44002</v>
      </c>
      <c r="E178" s="689" t="s">
        <v>2244</v>
      </c>
      <c r="F178" s="689"/>
      <c r="G178" s="691" t="s">
        <v>2245</v>
      </c>
      <c r="H178" s="692" t="s">
        <v>2246</v>
      </c>
      <c r="I178" s="689" t="s">
        <v>18</v>
      </c>
      <c r="J178" s="689" t="s">
        <v>51</v>
      </c>
      <c r="K178" s="693" t="s">
        <v>2247</v>
      </c>
      <c r="L178" s="689" t="s">
        <v>2248</v>
      </c>
      <c r="M178" s="689"/>
      <c r="N178" s="874" t="s">
        <v>2249</v>
      </c>
      <c r="O178" s="1041">
        <v>0</v>
      </c>
      <c r="P178" s="689"/>
      <c r="Q178" s="689" t="s">
        <v>2590</v>
      </c>
      <c r="R178" s="696"/>
      <c r="S178" s="691">
        <v>6</v>
      </c>
      <c r="T178" s="691">
        <v>2</v>
      </c>
      <c r="U178" s="753" t="s">
        <v>2261</v>
      </c>
      <c r="V178" s="695">
        <v>43545</v>
      </c>
      <c r="W178" s="689" t="s">
        <v>1769</v>
      </c>
      <c r="X178" s="689" t="s">
        <v>1154</v>
      </c>
      <c r="Y178" s="689" t="s">
        <v>2558</v>
      </c>
      <c r="Z178" s="689"/>
    </row>
    <row r="179" spans="1:26" s="21" customFormat="1" ht="12" customHeight="1">
      <c r="A179" s="1650" t="s">
        <v>2242</v>
      </c>
      <c r="B179" s="962" t="s">
        <v>2243</v>
      </c>
      <c r="C179" s="963">
        <v>44352</v>
      </c>
      <c r="D179" s="963">
        <v>44366</v>
      </c>
      <c r="E179" s="962" t="s">
        <v>2244</v>
      </c>
      <c r="F179" s="962"/>
      <c r="G179" s="964" t="s">
        <v>2245</v>
      </c>
      <c r="H179" s="965" t="s">
        <v>2246</v>
      </c>
      <c r="I179" s="962" t="s">
        <v>18</v>
      </c>
      <c r="J179" s="962" t="s">
        <v>51</v>
      </c>
      <c r="K179" s="966" t="s">
        <v>2247</v>
      </c>
      <c r="L179" s="962" t="s">
        <v>2248</v>
      </c>
      <c r="M179" s="962"/>
      <c r="N179" s="967" t="s">
        <v>2249</v>
      </c>
      <c r="O179" s="1047">
        <v>0</v>
      </c>
      <c r="P179" s="962"/>
      <c r="Q179" s="962" t="s">
        <v>2919</v>
      </c>
      <c r="R179" s="968">
        <v>0</v>
      </c>
      <c r="S179" s="964">
        <v>6</v>
      </c>
      <c r="T179" s="964">
        <v>2</v>
      </c>
      <c r="U179" s="1375" t="s">
        <v>2261</v>
      </c>
      <c r="V179" s="969">
        <v>43545</v>
      </c>
      <c r="W179" s="962" t="s">
        <v>1769</v>
      </c>
      <c r="X179" s="962" t="s">
        <v>1154</v>
      </c>
      <c r="Y179" s="962" t="s">
        <v>2558</v>
      </c>
      <c r="Z179" s="962"/>
    </row>
    <row r="180" spans="1:26" ht="12" customHeight="1">
      <c r="A180" s="408" t="s">
        <v>2242</v>
      </c>
      <c r="B180" s="408" t="s">
        <v>2243</v>
      </c>
      <c r="C180" s="409">
        <v>44723</v>
      </c>
      <c r="D180" s="409">
        <v>44737</v>
      </c>
      <c r="E180" s="408" t="s">
        <v>2244</v>
      </c>
      <c r="F180" s="408"/>
      <c r="G180" s="410" t="s">
        <v>2245</v>
      </c>
      <c r="H180" s="1011" t="s">
        <v>2246</v>
      </c>
      <c r="I180" s="408" t="s">
        <v>18</v>
      </c>
      <c r="J180" s="408" t="s">
        <v>51</v>
      </c>
      <c r="K180" s="412" t="s">
        <v>2247</v>
      </c>
      <c r="L180" s="408" t="s">
        <v>2248</v>
      </c>
      <c r="M180" s="408"/>
      <c r="N180" s="850" t="s">
        <v>2249</v>
      </c>
      <c r="O180" s="1031"/>
      <c r="P180" s="408"/>
      <c r="Q180" s="408" t="s">
        <v>2919</v>
      </c>
      <c r="R180" s="889">
        <v>0</v>
      </c>
      <c r="S180" s="410">
        <v>6</v>
      </c>
      <c r="T180" s="410">
        <v>2</v>
      </c>
      <c r="U180" s="596" t="s">
        <v>2261</v>
      </c>
      <c r="V180" s="416">
        <v>43545</v>
      </c>
      <c r="W180" s="408" t="s">
        <v>1769</v>
      </c>
      <c r="X180" s="408" t="s">
        <v>1154</v>
      </c>
      <c r="Y180" s="408" t="s">
        <v>3041</v>
      </c>
      <c r="Z180" s="408"/>
    </row>
    <row r="181" spans="1:26" ht="12" customHeight="1">
      <c r="A181" s="867" t="s">
        <v>2332</v>
      </c>
      <c r="B181" s="355" t="s">
        <v>2333</v>
      </c>
      <c r="C181" s="357">
        <v>43729</v>
      </c>
      <c r="D181" s="357">
        <v>43736</v>
      </c>
      <c r="E181" s="355" t="s">
        <v>2334</v>
      </c>
      <c r="F181" s="355"/>
      <c r="G181" s="358" t="s">
        <v>2335</v>
      </c>
      <c r="H181" s="355" t="s">
        <v>2336</v>
      </c>
      <c r="I181" s="355" t="s">
        <v>18</v>
      </c>
      <c r="J181" s="355" t="s">
        <v>51</v>
      </c>
      <c r="K181" s="355" t="s">
        <v>2338</v>
      </c>
      <c r="L181" s="355" t="s">
        <v>2337</v>
      </c>
      <c r="M181" s="355"/>
      <c r="N181" s="365" t="s">
        <v>2331</v>
      </c>
      <c r="O181" s="1036">
        <v>1190</v>
      </c>
      <c r="P181" s="355"/>
      <c r="Q181" s="355" t="s">
        <v>2023</v>
      </c>
      <c r="R181" s="891">
        <v>1</v>
      </c>
      <c r="S181" s="358">
        <v>2</v>
      </c>
      <c r="T181" s="358">
        <v>2</v>
      </c>
      <c r="U181" s="356" t="s">
        <v>2339</v>
      </c>
      <c r="V181" s="360">
        <v>43702</v>
      </c>
      <c r="W181" s="355" t="s">
        <v>1477</v>
      </c>
      <c r="X181" s="355"/>
      <c r="Y181" s="355"/>
      <c r="Z181" s="355"/>
    </row>
    <row r="182" spans="1:26" ht="12" customHeight="1">
      <c r="A182" s="115" t="s">
        <v>1996</v>
      </c>
      <c r="B182" s="115" t="s">
        <v>1990</v>
      </c>
      <c r="C182" s="116">
        <v>43757</v>
      </c>
      <c r="D182" s="116">
        <v>43764</v>
      </c>
      <c r="E182" s="115" t="s">
        <v>1991</v>
      </c>
      <c r="F182" s="115"/>
      <c r="G182" s="361" t="s">
        <v>1992</v>
      </c>
      <c r="H182" s="115" t="s">
        <v>1993</v>
      </c>
      <c r="I182" s="115" t="s">
        <v>18</v>
      </c>
      <c r="J182" s="115" t="s">
        <v>51</v>
      </c>
      <c r="K182" s="115"/>
      <c r="L182" s="115" t="s">
        <v>1994</v>
      </c>
      <c r="M182" s="115"/>
      <c r="N182" s="128" t="s">
        <v>1995</v>
      </c>
      <c r="O182" s="1027">
        <v>690</v>
      </c>
      <c r="P182" s="115"/>
      <c r="Q182" s="115" t="s">
        <v>1500</v>
      </c>
      <c r="R182" s="682">
        <v>1</v>
      </c>
      <c r="S182" s="361">
        <v>2</v>
      </c>
      <c r="T182" s="361">
        <v>1</v>
      </c>
      <c r="U182" s="119">
        <v>172.5</v>
      </c>
      <c r="V182" s="120" t="s">
        <v>2318</v>
      </c>
      <c r="W182" s="115"/>
      <c r="X182" s="115"/>
      <c r="Y182" s="115"/>
      <c r="Z182" s="115"/>
    </row>
    <row r="183" spans="1:26" ht="12" customHeight="1">
      <c r="A183" s="102" t="s">
        <v>775</v>
      </c>
      <c r="B183" s="102" t="s">
        <v>829</v>
      </c>
      <c r="C183" s="103">
        <v>41916</v>
      </c>
      <c r="D183" s="103">
        <v>41930</v>
      </c>
      <c r="E183" s="102" t="s">
        <v>773</v>
      </c>
      <c r="F183" s="102"/>
      <c r="G183" s="816" t="s">
        <v>774</v>
      </c>
      <c r="H183" s="102" t="s">
        <v>772</v>
      </c>
      <c r="I183" s="102" t="s">
        <v>168</v>
      </c>
      <c r="J183" s="102" t="s">
        <v>51</v>
      </c>
      <c r="K183" s="102" t="s">
        <v>1171</v>
      </c>
      <c r="L183" s="102" t="s">
        <v>777</v>
      </c>
      <c r="M183" s="102"/>
      <c r="N183" s="108" t="s">
        <v>776</v>
      </c>
      <c r="O183" s="1024">
        <v>0</v>
      </c>
      <c r="P183" s="102"/>
      <c r="Q183" s="102" t="s">
        <v>1184</v>
      </c>
      <c r="R183" s="884">
        <v>0</v>
      </c>
      <c r="S183" s="816">
        <v>5</v>
      </c>
      <c r="T183" s="816"/>
      <c r="U183" s="1746">
        <v>420</v>
      </c>
      <c r="V183" s="106">
        <v>41542</v>
      </c>
      <c r="W183" s="102" t="s">
        <v>1170</v>
      </c>
      <c r="X183" s="102" t="s">
        <v>1154</v>
      </c>
      <c r="Y183" s="102"/>
      <c r="Z183" s="102"/>
    </row>
    <row r="184" spans="1:26" ht="12" customHeight="1" thickBot="1">
      <c r="A184" s="115" t="s">
        <v>2185</v>
      </c>
      <c r="B184" s="115" t="s">
        <v>2600</v>
      </c>
      <c r="C184" s="116">
        <v>44030</v>
      </c>
      <c r="D184" s="116">
        <v>44044</v>
      </c>
      <c r="E184" s="115" t="s">
        <v>2603</v>
      </c>
      <c r="F184" s="115"/>
      <c r="G184" s="361" t="s">
        <v>2604</v>
      </c>
      <c r="H184" s="364" t="s">
        <v>2605</v>
      </c>
      <c r="I184" s="115" t="s">
        <v>18</v>
      </c>
      <c r="J184" s="115" t="s">
        <v>51</v>
      </c>
      <c r="K184" s="115" t="s">
        <v>2606</v>
      </c>
      <c r="L184" s="124" t="s">
        <v>2602</v>
      </c>
      <c r="M184" s="115"/>
      <c r="N184" s="128" t="s">
        <v>2601</v>
      </c>
      <c r="O184" s="1027">
        <f>1990*2</f>
        <v>3980</v>
      </c>
      <c r="P184" s="115"/>
      <c r="Q184" s="115" t="s">
        <v>2607</v>
      </c>
      <c r="R184" s="682">
        <v>2</v>
      </c>
      <c r="S184" s="361">
        <v>5</v>
      </c>
      <c r="T184" s="361">
        <v>2</v>
      </c>
      <c r="U184" s="129" t="s">
        <v>2609</v>
      </c>
      <c r="V184" s="120">
        <v>44005</v>
      </c>
      <c r="W184" s="115" t="s">
        <v>1338</v>
      </c>
      <c r="X184" s="115" t="s">
        <v>1154</v>
      </c>
      <c r="Y184" s="115"/>
      <c r="Z184" s="115"/>
    </row>
    <row r="185" spans="1:26" ht="12" customHeight="1" thickBot="1">
      <c r="A185" s="1628" t="s">
        <v>2185</v>
      </c>
      <c r="B185" s="1653" t="s">
        <v>2934</v>
      </c>
      <c r="C185" s="499">
        <v>7</v>
      </c>
      <c r="D185" s="1679">
        <v>44387</v>
      </c>
      <c r="E185" s="1653"/>
      <c r="F185" s="498"/>
      <c r="G185" s="500"/>
      <c r="H185" s="980"/>
      <c r="I185" s="498" t="s">
        <v>18</v>
      </c>
      <c r="J185" s="498" t="s">
        <v>51</v>
      </c>
      <c r="K185" s="498"/>
      <c r="L185" s="498" t="s">
        <v>2935</v>
      </c>
      <c r="M185" s="498"/>
      <c r="N185" s="982" t="s">
        <v>2936</v>
      </c>
      <c r="O185" s="1040">
        <v>0</v>
      </c>
      <c r="P185" s="498"/>
      <c r="Q185" s="498" t="s">
        <v>2942</v>
      </c>
      <c r="R185" s="894">
        <v>0</v>
      </c>
      <c r="S185" s="500">
        <v>4</v>
      </c>
      <c r="T185" s="500">
        <v>0</v>
      </c>
      <c r="U185" s="981"/>
      <c r="V185" s="504">
        <v>44319</v>
      </c>
      <c r="W185" s="498" t="s">
        <v>2891</v>
      </c>
      <c r="X185" s="498"/>
      <c r="Y185" s="498"/>
      <c r="Z185" s="498"/>
    </row>
    <row r="186" spans="1:26" ht="12" customHeight="1" thickBot="1">
      <c r="A186" s="1647" t="s">
        <v>3580</v>
      </c>
      <c r="B186" s="1396" t="s">
        <v>3581</v>
      </c>
      <c r="C186" s="1401">
        <v>45451</v>
      </c>
      <c r="D186" s="1404">
        <v>45465</v>
      </c>
      <c r="E186" s="1409" t="s">
        <v>3582</v>
      </c>
      <c r="F186" s="923"/>
      <c r="G186" s="925" t="s">
        <v>3583</v>
      </c>
      <c r="H186" s="923" t="s">
        <v>2768</v>
      </c>
      <c r="I186" s="923" t="s">
        <v>18</v>
      </c>
      <c r="J186" s="923" t="s">
        <v>51</v>
      </c>
      <c r="K186" s="926" t="s">
        <v>3584</v>
      </c>
      <c r="L186" s="923" t="s">
        <v>3585</v>
      </c>
      <c r="M186" s="923"/>
      <c r="N186" s="121" t="s">
        <v>3586</v>
      </c>
      <c r="O186" s="1195">
        <f>1690+1990</f>
        <v>3680</v>
      </c>
      <c r="P186" s="923"/>
      <c r="Q186" s="923" t="s">
        <v>3588</v>
      </c>
      <c r="R186" s="1196">
        <v>2</v>
      </c>
      <c r="S186" s="925">
        <v>4</v>
      </c>
      <c r="T186" s="925">
        <v>2</v>
      </c>
      <c r="U186" s="1728" t="s">
        <v>3591</v>
      </c>
      <c r="V186" s="929"/>
      <c r="W186" s="923" t="s">
        <v>1338</v>
      </c>
      <c r="X186" s="923" t="s">
        <v>1154</v>
      </c>
      <c r="Y186" s="923"/>
      <c r="Z186" s="923"/>
    </row>
    <row r="187" spans="1:26" ht="12" customHeight="1" thickBot="1">
      <c r="A187" s="451" t="s">
        <v>1982</v>
      </c>
      <c r="B187" s="451" t="s">
        <v>1983</v>
      </c>
      <c r="C187" s="452">
        <v>43231</v>
      </c>
      <c r="D187" s="655">
        <v>43245</v>
      </c>
      <c r="E187" s="664" t="s">
        <v>1984</v>
      </c>
      <c r="F187" s="451"/>
      <c r="G187" s="453" t="s">
        <v>1985</v>
      </c>
      <c r="H187" s="474" t="s">
        <v>1986</v>
      </c>
      <c r="I187" s="451" t="s">
        <v>18</v>
      </c>
      <c r="J187" s="451" t="s">
        <v>51</v>
      </c>
      <c r="K187" s="451"/>
      <c r="L187" s="475" t="s">
        <v>1987</v>
      </c>
      <c r="M187" s="451"/>
      <c r="N187" s="866" t="s">
        <v>1981</v>
      </c>
      <c r="O187" s="1039"/>
      <c r="P187" s="451"/>
      <c r="Q187" s="451" t="s">
        <v>1988</v>
      </c>
      <c r="R187" s="893"/>
      <c r="S187" s="453">
        <v>4</v>
      </c>
      <c r="T187" s="453">
        <v>2</v>
      </c>
      <c r="U187" s="473"/>
      <c r="V187" s="456" t="s">
        <v>1989</v>
      </c>
      <c r="W187" s="451"/>
      <c r="X187" s="451"/>
      <c r="Y187" s="451"/>
      <c r="Z187" s="451"/>
    </row>
    <row r="188" spans="1:26" ht="12" customHeight="1" thickBot="1">
      <c r="A188" s="717" t="s">
        <v>1589</v>
      </c>
      <c r="B188" s="729" t="s">
        <v>1588</v>
      </c>
      <c r="C188" s="116">
        <v>42581</v>
      </c>
      <c r="D188" s="561">
        <v>42588</v>
      </c>
      <c r="E188" s="543"/>
      <c r="F188" s="115"/>
      <c r="G188" s="361"/>
      <c r="H188" s="115"/>
      <c r="I188" s="115" t="s">
        <v>18</v>
      </c>
      <c r="J188" s="115" t="s">
        <v>51</v>
      </c>
      <c r="K188" s="115"/>
      <c r="L188" s="830" t="s">
        <v>1593</v>
      </c>
      <c r="M188" s="115"/>
      <c r="N188" s="128" t="s">
        <v>1676</v>
      </c>
      <c r="O188" s="1027">
        <f>2289-343.35</f>
        <v>1945.65</v>
      </c>
      <c r="P188" s="115"/>
      <c r="Q188" s="115" t="s">
        <v>1591</v>
      </c>
      <c r="R188" s="682">
        <v>1</v>
      </c>
      <c r="S188" s="361">
        <v>5</v>
      </c>
      <c r="T188" s="361">
        <v>2</v>
      </c>
      <c r="U188" s="598"/>
      <c r="V188" s="120">
        <v>42551</v>
      </c>
      <c r="W188" s="115" t="s">
        <v>1592</v>
      </c>
      <c r="X188" s="115" t="s">
        <v>1154</v>
      </c>
      <c r="Y188" s="115"/>
      <c r="Z188" s="115"/>
    </row>
    <row r="189" spans="1:26" ht="12" customHeight="1" thickBot="1">
      <c r="A189" s="21" t="s">
        <v>1286</v>
      </c>
      <c r="B189" s="21" t="s">
        <v>1285</v>
      </c>
      <c r="C189" s="30">
        <v>41839</v>
      </c>
      <c r="D189" s="1310">
        <v>41853</v>
      </c>
      <c r="E189" s="1331" t="s">
        <v>1287</v>
      </c>
      <c r="F189" s="21"/>
      <c r="G189" s="764" t="s">
        <v>1288</v>
      </c>
      <c r="H189" s="21" t="s">
        <v>868</v>
      </c>
      <c r="I189" s="21" t="s">
        <v>18</v>
      </c>
      <c r="J189" s="21" t="s">
        <v>51</v>
      </c>
      <c r="K189" s="21" t="s">
        <v>1289</v>
      </c>
      <c r="L189" s="21"/>
      <c r="M189" s="21"/>
      <c r="N189" s="50" t="s">
        <v>1290</v>
      </c>
      <c r="O189" s="1013">
        <v>3000</v>
      </c>
      <c r="P189" s="21"/>
      <c r="Q189" s="21" t="s">
        <v>1291</v>
      </c>
      <c r="R189" s="876">
        <v>2</v>
      </c>
      <c r="S189" s="764">
        <v>4</v>
      </c>
      <c r="T189" s="764">
        <v>0</v>
      </c>
      <c r="U189" s="1367">
        <v>0</v>
      </c>
      <c r="V189" s="78">
        <v>41822</v>
      </c>
      <c r="W189" s="21"/>
      <c r="X189" s="21" t="s">
        <v>1217</v>
      </c>
      <c r="Y189" s="21"/>
      <c r="Z189" s="21"/>
    </row>
    <row r="190" spans="1:26" ht="12" customHeight="1" thickBot="1">
      <c r="A190" s="38" t="s">
        <v>858</v>
      </c>
      <c r="B190" s="1269" t="s">
        <v>857</v>
      </c>
      <c r="C190" s="30">
        <v>41139</v>
      </c>
      <c r="D190" s="1319">
        <v>41153</v>
      </c>
      <c r="E190" s="1706" t="s">
        <v>854</v>
      </c>
      <c r="F190" s="21"/>
      <c r="G190" s="764" t="s">
        <v>855</v>
      </c>
      <c r="H190" s="21" t="s">
        <v>856</v>
      </c>
      <c r="I190" s="21" t="s">
        <v>18</v>
      </c>
      <c r="J190" s="21" t="s">
        <v>51</v>
      </c>
      <c r="K190" s="21" t="s">
        <v>863</v>
      </c>
      <c r="L190" s="21" t="s">
        <v>862</v>
      </c>
      <c r="M190" s="21"/>
      <c r="N190" s="50" t="s">
        <v>859</v>
      </c>
      <c r="O190" s="1013">
        <f>1590+1390+42+70</f>
        <v>3092</v>
      </c>
      <c r="P190" s="21"/>
      <c r="Q190" s="21" t="s">
        <v>864</v>
      </c>
      <c r="R190" s="876">
        <v>2</v>
      </c>
      <c r="S190" s="764" t="s">
        <v>864</v>
      </c>
      <c r="T190" s="764" t="s">
        <v>860</v>
      </c>
      <c r="U190" s="1388">
        <f>O190/4</f>
        <v>773</v>
      </c>
      <c r="V190" s="78">
        <v>40941</v>
      </c>
      <c r="W190" s="21"/>
      <c r="X190" s="21"/>
      <c r="Y190" s="21"/>
      <c r="Z190" s="21"/>
    </row>
    <row r="191" spans="1:26" ht="12" customHeight="1" thickBot="1">
      <c r="A191" s="56" t="s">
        <v>405</v>
      </c>
      <c r="B191" s="1271" t="s">
        <v>406</v>
      </c>
      <c r="C191" s="30">
        <v>39620</v>
      </c>
      <c r="D191" s="1319">
        <v>39627</v>
      </c>
      <c r="E191" s="1271" t="s">
        <v>407</v>
      </c>
      <c r="F191" s="21"/>
      <c r="G191" s="764">
        <v>35435</v>
      </c>
      <c r="H191" s="21" t="s">
        <v>408</v>
      </c>
      <c r="I191" s="21" t="s">
        <v>18</v>
      </c>
      <c r="J191" s="21" t="s">
        <v>51</v>
      </c>
      <c r="K191" s="21"/>
      <c r="L191" s="37" t="s">
        <v>410</v>
      </c>
      <c r="M191" s="21"/>
      <c r="N191" s="51" t="s">
        <v>409</v>
      </c>
      <c r="O191" s="1013">
        <v>1000</v>
      </c>
      <c r="P191" s="21"/>
      <c r="Q191" s="21"/>
      <c r="R191" s="876">
        <v>1</v>
      </c>
      <c r="S191" s="764">
        <v>3</v>
      </c>
      <c r="T191" s="764"/>
      <c r="U191" s="1364">
        <v>250</v>
      </c>
      <c r="V191" s="78"/>
      <c r="W191" s="21"/>
      <c r="X191" s="21"/>
      <c r="Y191" s="21"/>
      <c r="Z191" s="21"/>
    </row>
    <row r="192" spans="1:26" ht="12" customHeight="1">
      <c r="A192" s="21" t="s">
        <v>1452</v>
      </c>
      <c r="B192" s="21" t="s">
        <v>1453</v>
      </c>
      <c r="C192" s="30">
        <v>42294</v>
      </c>
      <c r="D192" s="30">
        <v>42305</v>
      </c>
      <c r="E192" s="21" t="s">
        <v>1454</v>
      </c>
      <c r="F192" s="21"/>
      <c r="G192" s="764" t="s">
        <v>1455</v>
      </c>
      <c r="H192" s="21" t="s">
        <v>1456</v>
      </c>
      <c r="I192" s="21" t="s">
        <v>18</v>
      </c>
      <c r="J192" s="21" t="s">
        <v>51</v>
      </c>
      <c r="K192" s="21" t="s">
        <v>1457</v>
      </c>
      <c r="L192" s="21" t="s">
        <v>1458</v>
      </c>
      <c r="M192" s="21"/>
      <c r="N192" s="50" t="s">
        <v>1459</v>
      </c>
      <c r="O192" s="1013">
        <v>1190</v>
      </c>
      <c r="P192" s="21"/>
      <c r="Q192" s="21" t="s">
        <v>1460</v>
      </c>
      <c r="R192" s="876">
        <v>1.5</v>
      </c>
      <c r="S192" s="764"/>
      <c r="T192" s="764">
        <v>1</v>
      </c>
      <c r="U192" s="1367">
        <v>297.5</v>
      </c>
      <c r="V192" s="78">
        <v>42242</v>
      </c>
      <c r="W192" s="21"/>
      <c r="X192" s="21" t="s">
        <v>1154</v>
      </c>
      <c r="Y192" s="21"/>
      <c r="Z192" s="21"/>
    </row>
    <row r="193" spans="1:26" ht="12" customHeight="1">
      <c r="A193" s="21" t="s">
        <v>668</v>
      </c>
      <c r="B193" s="21" t="s">
        <v>256</v>
      </c>
      <c r="C193" s="30">
        <v>40542</v>
      </c>
      <c r="D193" s="30">
        <v>40551</v>
      </c>
      <c r="E193" s="21" t="s">
        <v>669</v>
      </c>
      <c r="F193" s="21"/>
      <c r="G193" s="764" t="s">
        <v>670</v>
      </c>
      <c r="H193" s="21" t="s">
        <v>671</v>
      </c>
      <c r="I193" s="21" t="s">
        <v>18</v>
      </c>
      <c r="J193" s="21" t="s">
        <v>51</v>
      </c>
      <c r="K193" s="21"/>
      <c r="L193" s="21" t="s">
        <v>672</v>
      </c>
      <c r="M193" s="21"/>
      <c r="N193" s="992" t="s">
        <v>673</v>
      </c>
      <c r="O193" s="1348">
        <v>1050</v>
      </c>
      <c r="P193" s="21"/>
      <c r="Q193" s="21" t="s">
        <v>674</v>
      </c>
      <c r="R193" s="876">
        <v>1</v>
      </c>
      <c r="S193" s="764">
        <v>4</v>
      </c>
      <c r="T193" s="764">
        <v>0</v>
      </c>
      <c r="U193" s="1364">
        <v>300</v>
      </c>
      <c r="V193" s="78"/>
      <c r="W193" s="21"/>
      <c r="X193" s="21"/>
      <c r="Y193" s="21"/>
      <c r="Z193" s="21"/>
    </row>
    <row r="194" spans="1:26" ht="12" customHeight="1">
      <c r="A194" s="21" t="s">
        <v>1186</v>
      </c>
      <c r="B194" s="21" t="s">
        <v>1187</v>
      </c>
      <c r="C194" s="30">
        <v>41783</v>
      </c>
      <c r="D194" s="30">
        <v>41797</v>
      </c>
      <c r="E194" s="21" t="s">
        <v>1188</v>
      </c>
      <c r="F194" s="21"/>
      <c r="G194" s="764"/>
      <c r="H194" s="21"/>
      <c r="I194" s="21" t="s">
        <v>18</v>
      </c>
      <c r="J194" s="21" t="s">
        <v>51</v>
      </c>
      <c r="K194" s="21" t="s">
        <v>1189</v>
      </c>
      <c r="L194" s="21" t="s">
        <v>1190</v>
      </c>
      <c r="M194" s="21"/>
      <c r="N194" s="50" t="s">
        <v>1191</v>
      </c>
      <c r="O194" s="1013">
        <f>890+990+70</f>
        <v>1950</v>
      </c>
      <c r="P194" s="21"/>
      <c r="Q194" s="21" t="s">
        <v>1192</v>
      </c>
      <c r="R194" s="876">
        <v>2</v>
      </c>
      <c r="S194" s="764" t="s">
        <v>717</v>
      </c>
      <c r="T194" s="764">
        <v>2</v>
      </c>
      <c r="U194" s="1367">
        <f>1880/4</f>
        <v>470</v>
      </c>
      <c r="V194" s="78">
        <v>41601</v>
      </c>
      <c r="W194" s="21" t="s">
        <v>791</v>
      </c>
      <c r="X194" s="21" t="s">
        <v>1154</v>
      </c>
      <c r="Y194" s="21"/>
      <c r="Z194" s="21"/>
    </row>
    <row r="195" spans="1:26" ht="12" customHeight="1">
      <c r="A195" s="115" t="s">
        <v>1852</v>
      </c>
      <c r="B195" s="115" t="s">
        <v>511</v>
      </c>
      <c r="C195" s="116">
        <v>43232</v>
      </c>
      <c r="D195" s="116">
        <v>43239</v>
      </c>
      <c r="E195" s="115" t="s">
        <v>1853</v>
      </c>
      <c r="F195" s="115"/>
      <c r="G195" s="361" t="s">
        <v>1854</v>
      </c>
      <c r="H195" s="364" t="s">
        <v>1855</v>
      </c>
      <c r="I195" s="115" t="s">
        <v>18</v>
      </c>
      <c r="J195" s="115" t="s">
        <v>51</v>
      </c>
      <c r="K195" s="115"/>
      <c r="L195" s="124" t="s">
        <v>1856</v>
      </c>
      <c r="M195" s="115"/>
      <c r="N195" s="128" t="s">
        <v>1857</v>
      </c>
      <c r="O195" s="1027">
        <f>890+42+70</f>
        <v>1002</v>
      </c>
      <c r="P195" s="115"/>
      <c r="Q195" s="115" t="s">
        <v>1858</v>
      </c>
      <c r="R195" s="682">
        <v>1</v>
      </c>
      <c r="S195" s="361">
        <v>2</v>
      </c>
      <c r="T195" s="361">
        <v>2</v>
      </c>
      <c r="U195" s="129">
        <v>222.5</v>
      </c>
      <c r="V195" s="120">
        <v>43060</v>
      </c>
      <c r="W195" s="115" t="s">
        <v>1769</v>
      </c>
      <c r="X195" s="115" t="s">
        <v>1154</v>
      </c>
      <c r="Y195" s="115"/>
      <c r="Z195" s="115"/>
    </row>
    <row r="196" spans="1:26" ht="12" customHeight="1">
      <c r="A196" s="115" t="s">
        <v>2696</v>
      </c>
      <c r="B196" s="115" t="s">
        <v>2697</v>
      </c>
      <c r="C196" s="116">
        <v>44086</v>
      </c>
      <c r="D196" s="116">
        <v>44093</v>
      </c>
      <c r="E196" s="115" t="s">
        <v>2698</v>
      </c>
      <c r="F196" s="115"/>
      <c r="G196" s="361" t="s">
        <v>2699</v>
      </c>
      <c r="H196" s="115" t="s">
        <v>2700</v>
      </c>
      <c r="I196" s="115" t="s">
        <v>168</v>
      </c>
      <c r="J196" s="115" t="s">
        <v>51</v>
      </c>
      <c r="K196" s="115" t="s">
        <v>2701</v>
      </c>
      <c r="L196" s="115" t="s">
        <v>2702</v>
      </c>
      <c r="M196" s="115"/>
      <c r="N196" s="128" t="s">
        <v>2703</v>
      </c>
      <c r="O196" s="1027">
        <v>1270</v>
      </c>
      <c r="P196" s="115"/>
      <c r="Q196" s="921" t="s">
        <v>199</v>
      </c>
      <c r="R196" s="682">
        <v>1</v>
      </c>
      <c r="S196" s="361">
        <v>2</v>
      </c>
      <c r="T196" s="361">
        <v>0</v>
      </c>
      <c r="U196" s="129">
        <v>0</v>
      </c>
      <c r="V196" s="120">
        <v>44085</v>
      </c>
      <c r="W196" s="120" t="s">
        <v>2704</v>
      </c>
      <c r="X196" s="115" t="s">
        <v>1217</v>
      </c>
      <c r="Y196" s="115"/>
      <c r="Z196" s="115"/>
    </row>
    <row r="197" spans="1:26" ht="12" customHeight="1">
      <c r="A197" s="115" t="s">
        <v>3851</v>
      </c>
      <c r="B197" s="115" t="s">
        <v>3852</v>
      </c>
      <c r="C197" s="116">
        <v>45570</v>
      </c>
      <c r="D197" s="116">
        <v>45577</v>
      </c>
      <c r="E197" s="115" t="s">
        <v>3853</v>
      </c>
      <c r="F197" s="115"/>
      <c r="G197" s="361" t="s">
        <v>3854</v>
      </c>
      <c r="H197" s="115" t="s">
        <v>3855</v>
      </c>
      <c r="I197" s="115" t="s">
        <v>168</v>
      </c>
      <c r="J197" s="115" t="s">
        <v>51</v>
      </c>
      <c r="K197" s="115"/>
      <c r="L197" s="115" t="s">
        <v>3856</v>
      </c>
      <c r="M197" s="115"/>
      <c r="N197" s="121" t="s">
        <v>3857</v>
      </c>
      <c r="O197" s="1027">
        <v>1290</v>
      </c>
      <c r="P197" s="115"/>
      <c r="Q197" s="115" t="s">
        <v>3858</v>
      </c>
      <c r="R197" s="682">
        <v>1</v>
      </c>
      <c r="S197" s="361">
        <v>6</v>
      </c>
      <c r="T197" s="361">
        <v>2</v>
      </c>
      <c r="U197" s="129" t="s">
        <v>3872</v>
      </c>
      <c r="V197" s="120">
        <v>45302</v>
      </c>
      <c r="W197" s="115" t="s">
        <v>1477</v>
      </c>
      <c r="X197" s="115" t="s">
        <v>1154</v>
      </c>
      <c r="Y197" s="115"/>
      <c r="Z197" s="115"/>
    </row>
    <row r="198" spans="1:26" ht="12" customHeight="1">
      <c r="A198" s="115" t="s">
        <v>3103</v>
      </c>
      <c r="B198" s="115" t="s">
        <v>1509</v>
      </c>
      <c r="C198" s="116">
        <v>44563</v>
      </c>
      <c r="D198" s="116">
        <v>44573</v>
      </c>
      <c r="E198" s="115" t="s">
        <v>3104</v>
      </c>
      <c r="F198" s="115"/>
      <c r="G198" s="361" t="s">
        <v>3105</v>
      </c>
      <c r="H198" s="115" t="s">
        <v>3106</v>
      </c>
      <c r="I198" s="115" t="s">
        <v>18</v>
      </c>
      <c r="J198" s="115" t="s">
        <v>51</v>
      </c>
      <c r="K198" s="124" t="s">
        <v>3107</v>
      </c>
      <c r="L198" s="115" t="s">
        <v>3108</v>
      </c>
      <c r="M198" s="115"/>
      <c r="N198" s="128" t="s">
        <v>3109</v>
      </c>
      <c r="O198" s="1044">
        <f>1380+70</f>
        <v>1450</v>
      </c>
      <c r="P198" s="115"/>
      <c r="Q198" s="115" t="s">
        <v>1300</v>
      </c>
      <c r="R198" s="682">
        <v>1.5</v>
      </c>
      <c r="S198" s="361">
        <v>2</v>
      </c>
      <c r="T198" s="361">
        <v>3</v>
      </c>
      <c r="U198" s="921"/>
      <c r="V198" s="120">
        <v>44558</v>
      </c>
      <c r="W198" s="115" t="s">
        <v>1477</v>
      </c>
      <c r="X198" s="115" t="s">
        <v>1154</v>
      </c>
      <c r="Y198" s="115"/>
      <c r="Z198" s="115"/>
    </row>
    <row r="199" spans="1:26" ht="12" customHeight="1">
      <c r="A199" s="115" t="s">
        <v>1799</v>
      </c>
      <c r="B199" s="115" t="s">
        <v>1800</v>
      </c>
      <c r="C199" s="116">
        <v>43274</v>
      </c>
      <c r="D199" s="116">
        <v>43288</v>
      </c>
      <c r="E199" s="115" t="s">
        <v>1801</v>
      </c>
      <c r="F199" s="115"/>
      <c r="G199" s="361" t="s">
        <v>1802</v>
      </c>
      <c r="H199" s="115" t="s">
        <v>1803</v>
      </c>
      <c r="I199" s="115" t="s">
        <v>18</v>
      </c>
      <c r="J199" s="115" t="s">
        <v>51</v>
      </c>
      <c r="K199" s="115" t="s">
        <v>1805</v>
      </c>
      <c r="L199" s="115" t="s">
        <v>1804</v>
      </c>
      <c r="M199" s="115"/>
      <c r="N199" s="363" t="s">
        <v>1806</v>
      </c>
      <c r="O199" s="1027">
        <f>1290+1390</f>
        <v>2680</v>
      </c>
      <c r="P199" s="115"/>
      <c r="Q199" s="115" t="s">
        <v>1807</v>
      </c>
      <c r="R199" s="682">
        <v>2</v>
      </c>
      <c r="S199" s="361">
        <v>4</v>
      </c>
      <c r="T199" s="361">
        <v>2</v>
      </c>
      <c r="U199" s="119"/>
      <c r="V199" s="120">
        <v>42997</v>
      </c>
      <c r="W199" s="115" t="s">
        <v>1651</v>
      </c>
      <c r="X199" s="115" t="s">
        <v>1154</v>
      </c>
      <c r="Y199" s="115"/>
      <c r="Z199" s="115"/>
    </row>
    <row r="200" spans="1:26" s="21" customFormat="1" ht="12" customHeight="1">
      <c r="A200" s="115" t="s">
        <v>2950</v>
      </c>
      <c r="B200" s="115" t="s">
        <v>1938</v>
      </c>
      <c r="C200" s="116">
        <v>44373</v>
      </c>
      <c r="D200" s="116">
        <v>44387</v>
      </c>
      <c r="E200" s="115" t="s">
        <v>2951</v>
      </c>
      <c r="F200" s="115"/>
      <c r="G200" s="361" t="s">
        <v>2952</v>
      </c>
      <c r="H200" s="115" t="s">
        <v>2953</v>
      </c>
      <c r="I200" s="115" t="s">
        <v>18</v>
      </c>
      <c r="J200" s="115" t="s">
        <v>51</v>
      </c>
      <c r="K200" s="115"/>
      <c r="L200" s="115" t="s">
        <v>2954</v>
      </c>
      <c r="M200" s="115"/>
      <c r="N200" s="128" t="s">
        <v>2955</v>
      </c>
      <c r="O200" s="1027">
        <v>2200</v>
      </c>
      <c r="P200" s="115"/>
      <c r="Q200" s="115" t="s">
        <v>2956</v>
      </c>
      <c r="R200" s="682">
        <v>2</v>
      </c>
      <c r="S200" s="361">
        <v>2</v>
      </c>
      <c r="T200" s="361">
        <v>2</v>
      </c>
      <c r="U200" s="119"/>
      <c r="V200" s="120">
        <v>44366</v>
      </c>
      <c r="W200" s="115" t="s">
        <v>1769</v>
      </c>
      <c r="X200" s="115" t="s">
        <v>1217</v>
      </c>
      <c r="Y200" s="115"/>
      <c r="Z200" s="115"/>
    </row>
    <row r="201" spans="1:26" s="21" customFormat="1" ht="12" customHeight="1">
      <c r="A201" s="115" t="s">
        <v>2659</v>
      </c>
      <c r="B201" s="115" t="s">
        <v>2660</v>
      </c>
      <c r="C201" s="116">
        <v>44079</v>
      </c>
      <c r="D201" s="116">
        <v>44086</v>
      </c>
      <c r="E201" s="115" t="s">
        <v>2661</v>
      </c>
      <c r="F201" s="115"/>
      <c r="G201" s="361" t="s">
        <v>2663</v>
      </c>
      <c r="H201" s="364" t="s">
        <v>2662</v>
      </c>
      <c r="I201" s="115" t="s">
        <v>168</v>
      </c>
      <c r="J201" s="115" t="s">
        <v>51</v>
      </c>
      <c r="K201" s="115"/>
      <c r="L201" s="124" t="s">
        <v>2664</v>
      </c>
      <c r="M201" s="115"/>
      <c r="N201" s="128" t="s">
        <v>2665</v>
      </c>
      <c r="O201" s="1027">
        <f>1590+105</f>
        <v>1695</v>
      </c>
      <c r="P201" s="115"/>
      <c r="Q201" s="115" t="s">
        <v>2666</v>
      </c>
      <c r="R201" s="682">
        <v>1</v>
      </c>
      <c r="S201" s="361">
        <v>4</v>
      </c>
      <c r="T201" s="361">
        <v>5</v>
      </c>
      <c r="U201" s="119"/>
      <c r="V201" s="120"/>
      <c r="W201" s="115"/>
      <c r="X201" s="115"/>
      <c r="Y201" s="115"/>
      <c r="Z201" s="115"/>
    </row>
    <row r="202" spans="1:26" s="21" customFormat="1" ht="12" customHeight="1">
      <c r="A202" s="408" t="s">
        <v>2645</v>
      </c>
      <c r="B202" s="408" t="s">
        <v>2646</v>
      </c>
      <c r="C202" s="409">
        <v>44331</v>
      </c>
      <c r="D202" s="409">
        <v>44344</v>
      </c>
      <c r="E202" s="970" t="s">
        <v>2649</v>
      </c>
      <c r="F202" s="408"/>
      <c r="G202" s="410">
        <v>8604</v>
      </c>
      <c r="H202" s="411" t="s">
        <v>2650</v>
      </c>
      <c r="I202" s="408" t="s">
        <v>168</v>
      </c>
      <c r="J202" s="408" t="s">
        <v>51</v>
      </c>
      <c r="K202" s="408"/>
      <c r="L202" s="970" t="s">
        <v>2647</v>
      </c>
      <c r="M202" s="408"/>
      <c r="N202" s="850" t="s">
        <v>2648</v>
      </c>
      <c r="O202" s="1031">
        <v>0</v>
      </c>
      <c r="P202" s="408"/>
      <c r="Q202" s="408" t="s">
        <v>2920</v>
      </c>
      <c r="R202" s="889">
        <v>0</v>
      </c>
      <c r="S202" s="410">
        <v>2</v>
      </c>
      <c r="T202" s="410">
        <v>1</v>
      </c>
      <c r="U202" s="596">
        <v>425</v>
      </c>
      <c r="V202" s="416">
        <v>44035</v>
      </c>
      <c r="W202" s="408" t="s">
        <v>1477</v>
      </c>
      <c r="X202" s="408" t="s">
        <v>1154</v>
      </c>
      <c r="Y202" s="408" t="s">
        <v>2726</v>
      </c>
      <c r="Z202" s="972" t="s">
        <v>2922</v>
      </c>
    </row>
    <row r="203" spans="1:26" s="21" customFormat="1" ht="12" customHeight="1">
      <c r="A203" s="1250" t="s">
        <v>3127</v>
      </c>
      <c r="B203" s="923" t="s">
        <v>3897</v>
      </c>
      <c r="C203" s="924">
        <v>45514</v>
      </c>
      <c r="D203" s="924">
        <v>45528</v>
      </c>
      <c r="E203" s="923" t="s">
        <v>3898</v>
      </c>
      <c r="F203" s="923"/>
      <c r="G203" s="925" t="s">
        <v>3899</v>
      </c>
      <c r="H203" s="923" t="s">
        <v>3900</v>
      </c>
      <c r="I203" s="923" t="s">
        <v>18</v>
      </c>
      <c r="J203" s="923" t="s">
        <v>51</v>
      </c>
      <c r="K203" s="926"/>
      <c r="L203" s="923" t="s">
        <v>3901</v>
      </c>
      <c r="M203" s="923"/>
      <c r="N203" s="121" t="s">
        <v>3902</v>
      </c>
      <c r="O203" s="1195">
        <f>2490*2</f>
        <v>4980</v>
      </c>
      <c r="P203" s="923"/>
      <c r="Q203" s="923" t="s">
        <v>3903</v>
      </c>
      <c r="R203" s="1196">
        <v>2</v>
      </c>
      <c r="S203" s="925">
        <v>4</v>
      </c>
      <c r="T203" s="925">
        <v>1</v>
      </c>
      <c r="U203" s="1612">
        <f>O203/4</f>
        <v>1245</v>
      </c>
      <c r="V203" s="929">
        <v>45338</v>
      </c>
      <c r="W203" s="923" t="s">
        <v>3904</v>
      </c>
      <c r="X203" s="923" t="s">
        <v>1154</v>
      </c>
      <c r="Y203" s="923"/>
      <c r="Z203" s="923"/>
    </row>
    <row r="204" spans="1:26" s="21" customFormat="1" ht="12" customHeight="1">
      <c r="A204" s="1250" t="s">
        <v>3528</v>
      </c>
      <c r="B204" s="923" t="s">
        <v>3527</v>
      </c>
      <c r="C204" s="924">
        <v>45437</v>
      </c>
      <c r="D204" s="924">
        <v>45451</v>
      </c>
      <c r="E204" s="446" t="s">
        <v>3529</v>
      </c>
      <c r="F204" s="923"/>
      <c r="G204" s="925"/>
      <c r="H204" s="923"/>
      <c r="I204" s="923" t="s">
        <v>18</v>
      </c>
      <c r="J204" s="923" t="s">
        <v>51</v>
      </c>
      <c r="K204" s="926"/>
      <c r="L204" s="923" t="s">
        <v>3530</v>
      </c>
      <c r="M204" s="923"/>
      <c r="N204" s="121" t="s">
        <v>3526</v>
      </c>
      <c r="O204" s="1195">
        <f>3280</f>
        <v>3280</v>
      </c>
      <c r="P204" s="923"/>
      <c r="Q204" s="923" t="s">
        <v>3587</v>
      </c>
      <c r="R204" s="1196">
        <v>2</v>
      </c>
      <c r="S204" s="925">
        <v>3</v>
      </c>
      <c r="T204" s="925">
        <v>3</v>
      </c>
      <c r="U204" s="1197">
        <v>820</v>
      </c>
      <c r="V204" s="929">
        <v>45092</v>
      </c>
      <c r="W204" s="923" t="s">
        <v>1477</v>
      </c>
      <c r="X204" s="923" t="s">
        <v>1154</v>
      </c>
      <c r="Y204" s="923" t="s">
        <v>3531</v>
      </c>
      <c r="Z204" s="923"/>
    </row>
    <row r="205" spans="1:26" s="21" customFormat="1" ht="12" customHeight="1">
      <c r="A205" s="21" t="s">
        <v>1375</v>
      </c>
      <c r="B205" s="21" t="s">
        <v>1376</v>
      </c>
      <c r="C205" s="30">
        <v>42154</v>
      </c>
      <c r="D205" s="30">
        <v>42168</v>
      </c>
      <c r="E205" s="21" t="s">
        <v>1377</v>
      </c>
      <c r="G205" s="764" t="s">
        <v>1378</v>
      </c>
      <c r="H205" s="21" t="s">
        <v>1379</v>
      </c>
      <c r="I205" s="21" t="s">
        <v>18</v>
      </c>
      <c r="J205" s="21" t="s">
        <v>51</v>
      </c>
      <c r="L205" s="21" t="s">
        <v>1380</v>
      </c>
      <c r="N205" s="50" t="s">
        <v>1381</v>
      </c>
      <c r="O205" s="1013">
        <f>990+1090+70+3*14*2</f>
        <v>2234</v>
      </c>
      <c r="Q205" s="21" t="s">
        <v>1383</v>
      </c>
      <c r="R205" s="876">
        <v>2</v>
      </c>
      <c r="S205" s="764" t="s">
        <v>1382</v>
      </c>
      <c r="T205" s="764">
        <v>2</v>
      </c>
      <c r="U205" s="75">
        <f>2080/4</f>
        <v>520</v>
      </c>
      <c r="V205" s="78">
        <v>42011</v>
      </c>
      <c r="W205" s="21" t="s">
        <v>1338</v>
      </c>
      <c r="X205" s="21" t="s">
        <v>1154</v>
      </c>
    </row>
    <row r="206" spans="1:26" s="21" customFormat="1" ht="12" customHeight="1">
      <c r="A206" s="1418" t="s">
        <v>3220</v>
      </c>
      <c r="B206" s="1418" t="s">
        <v>3221</v>
      </c>
      <c r="C206" s="1419">
        <v>45017</v>
      </c>
      <c r="D206" s="1419">
        <v>45024</v>
      </c>
      <c r="E206" s="1455" t="s">
        <v>3222</v>
      </c>
      <c r="F206" s="1418"/>
      <c r="G206" s="1420" t="s">
        <v>3223</v>
      </c>
      <c r="H206" s="1418" t="s">
        <v>720</v>
      </c>
      <c r="I206" s="1418" t="s">
        <v>18</v>
      </c>
      <c r="J206" s="1418" t="s">
        <v>51</v>
      </c>
      <c r="K206" s="1418" t="s">
        <v>3225</v>
      </c>
      <c r="L206" s="1418" t="s">
        <v>3224</v>
      </c>
      <c r="M206" s="1418"/>
      <c r="N206" s="1456" t="s">
        <v>3226</v>
      </c>
      <c r="O206" s="1423">
        <f>1190+42+70</f>
        <v>1302</v>
      </c>
      <c r="P206" s="1418"/>
      <c r="Q206" s="1418" t="s">
        <v>3329</v>
      </c>
      <c r="R206" s="1420">
        <v>1</v>
      </c>
      <c r="S206" s="1420">
        <v>2</v>
      </c>
      <c r="T206" s="1420">
        <v>2</v>
      </c>
      <c r="U206" s="1745">
        <v>297.5</v>
      </c>
      <c r="V206" s="1425">
        <v>44837</v>
      </c>
      <c r="W206" s="1418" t="s">
        <v>3336</v>
      </c>
      <c r="X206" s="1418" t="s">
        <v>1154</v>
      </c>
      <c r="Y206" s="1418" t="s">
        <v>3346</v>
      </c>
      <c r="Z206" s="1418"/>
    </row>
    <row r="207" spans="1:26" s="21" customFormat="1" ht="12" customHeight="1">
      <c r="A207" s="115" t="s">
        <v>1946</v>
      </c>
      <c r="B207" s="115" t="s">
        <v>1947</v>
      </c>
      <c r="C207" s="116">
        <v>43659</v>
      </c>
      <c r="D207" s="116">
        <v>43673</v>
      </c>
      <c r="E207" s="115" t="s">
        <v>1948</v>
      </c>
      <c r="F207" s="115"/>
      <c r="G207" s="361" t="s">
        <v>1949</v>
      </c>
      <c r="H207" s="115" t="s">
        <v>1950</v>
      </c>
      <c r="I207" s="115" t="s">
        <v>18</v>
      </c>
      <c r="J207" s="115" t="s">
        <v>1023</v>
      </c>
      <c r="K207" s="115"/>
      <c r="L207" s="115" t="s">
        <v>1951</v>
      </c>
      <c r="M207" s="115"/>
      <c r="N207" s="128" t="s">
        <v>2425</v>
      </c>
      <c r="O207" s="1027">
        <v>3980</v>
      </c>
      <c r="P207" s="115"/>
      <c r="Q207" s="115" t="s">
        <v>600</v>
      </c>
      <c r="R207" s="682">
        <v>2</v>
      </c>
      <c r="S207" s="361">
        <v>6</v>
      </c>
      <c r="T207" s="361">
        <v>1</v>
      </c>
      <c r="U207" s="119">
        <v>995</v>
      </c>
      <c r="V207" s="120"/>
      <c r="W207" s="115"/>
      <c r="X207" s="115"/>
      <c r="Y207" s="115"/>
      <c r="Z207" s="115"/>
    </row>
    <row r="208" spans="1:26" s="21" customFormat="1" ht="12" customHeight="1">
      <c r="A208" s="355" t="s">
        <v>3283</v>
      </c>
      <c r="B208" s="355" t="s">
        <v>3573</v>
      </c>
      <c r="C208" s="357">
        <v>45164</v>
      </c>
      <c r="D208" s="357">
        <v>45178</v>
      </c>
      <c r="E208" s="355" t="s">
        <v>3285</v>
      </c>
      <c r="F208" s="355"/>
      <c r="G208" s="358" t="s">
        <v>3286</v>
      </c>
      <c r="H208" s="355" t="s">
        <v>3287</v>
      </c>
      <c r="I208" s="355" t="s">
        <v>18</v>
      </c>
      <c r="J208" s="355" t="s">
        <v>1023</v>
      </c>
      <c r="K208" s="368"/>
      <c r="L208" s="355" t="s">
        <v>3288</v>
      </c>
      <c r="M208" s="355"/>
      <c r="N208" s="401" t="s">
        <v>3289</v>
      </c>
      <c r="O208" s="1514">
        <f>2190+1990</f>
        <v>4180</v>
      </c>
      <c r="P208" s="355"/>
      <c r="Q208" s="355"/>
      <c r="R208" s="891">
        <v>2</v>
      </c>
      <c r="S208" s="358">
        <v>2</v>
      </c>
      <c r="T208" s="358">
        <v>2</v>
      </c>
      <c r="U208" s="1515">
        <v>1045</v>
      </c>
      <c r="V208" s="360">
        <v>44741</v>
      </c>
      <c r="W208" s="355" t="s">
        <v>1477</v>
      </c>
      <c r="X208" s="355" t="s">
        <v>1154</v>
      </c>
      <c r="Y208" s="355" t="s">
        <v>3603</v>
      </c>
      <c r="Z208" s="355"/>
    </row>
    <row r="209" spans="1:26" s="21" customFormat="1" ht="12" customHeight="1">
      <c r="A209" s="115" t="s">
        <v>1508</v>
      </c>
      <c r="B209" s="115" t="s">
        <v>1509</v>
      </c>
      <c r="C209" s="116">
        <v>42567</v>
      </c>
      <c r="D209" s="116">
        <v>42581</v>
      </c>
      <c r="E209" s="115" t="s">
        <v>1510</v>
      </c>
      <c r="F209" s="115"/>
      <c r="G209" s="361" t="s">
        <v>1511</v>
      </c>
      <c r="H209" s="115" t="s">
        <v>1512</v>
      </c>
      <c r="I209" s="115" t="s">
        <v>18</v>
      </c>
      <c r="J209" s="115" t="s">
        <v>51</v>
      </c>
      <c r="K209" s="115" t="s">
        <v>1513</v>
      </c>
      <c r="L209" s="115" t="s">
        <v>1514</v>
      </c>
      <c r="M209" s="115"/>
      <c r="N209" s="128" t="s">
        <v>1577</v>
      </c>
      <c r="O209" s="1027">
        <f>1990*2+3*3*14</f>
        <v>4106</v>
      </c>
      <c r="P209" s="115"/>
      <c r="Q209" s="115" t="s">
        <v>1516</v>
      </c>
      <c r="R209" s="682">
        <v>2</v>
      </c>
      <c r="S209" s="361" t="s">
        <v>1517</v>
      </c>
      <c r="T209" s="361">
        <v>3</v>
      </c>
      <c r="U209" s="119">
        <f xml:space="preserve"> 995</f>
        <v>995</v>
      </c>
      <c r="V209" s="120"/>
      <c r="W209" s="115"/>
      <c r="X209" s="115"/>
      <c r="Y209" s="115"/>
      <c r="Z209" s="115"/>
    </row>
    <row r="210" spans="1:26" s="21" customFormat="1" ht="12" customHeight="1">
      <c r="A210" s="355" t="s">
        <v>3273</v>
      </c>
      <c r="B210" s="355" t="s">
        <v>3274</v>
      </c>
      <c r="C210" s="357">
        <v>45073</v>
      </c>
      <c r="D210" s="357">
        <v>45094</v>
      </c>
      <c r="E210" s="355" t="s">
        <v>3275</v>
      </c>
      <c r="F210" s="355"/>
      <c r="G210" s="358" t="s">
        <v>3276</v>
      </c>
      <c r="H210" s="355" t="s">
        <v>3277</v>
      </c>
      <c r="I210" s="355" t="s">
        <v>168</v>
      </c>
      <c r="J210" s="355" t="s">
        <v>1023</v>
      </c>
      <c r="K210" s="355" t="s">
        <v>3500</v>
      </c>
      <c r="L210" s="355" t="s">
        <v>3278</v>
      </c>
      <c r="M210" s="355"/>
      <c r="N210" s="401" t="s">
        <v>3279</v>
      </c>
      <c r="O210" s="1036">
        <f>1390+1590+1590+70</f>
        <v>4640</v>
      </c>
      <c r="P210" s="355" t="s">
        <v>3280</v>
      </c>
      <c r="Q210" s="355" t="s">
        <v>3499</v>
      </c>
      <c r="R210" s="891">
        <v>3</v>
      </c>
      <c r="S210" s="358">
        <v>2</v>
      </c>
      <c r="T210" s="358">
        <v>1</v>
      </c>
      <c r="U210" s="356">
        <f>4570/4</f>
        <v>1142.5</v>
      </c>
      <c r="V210" s="360">
        <v>45095</v>
      </c>
      <c r="W210" s="355" t="s">
        <v>1338</v>
      </c>
      <c r="X210" s="355" t="s">
        <v>1154</v>
      </c>
      <c r="Y210" s="355"/>
      <c r="Z210" s="355"/>
    </row>
    <row r="211" spans="1:26" s="21" customFormat="1" ht="12" customHeight="1">
      <c r="A211" s="21" t="s">
        <v>1269</v>
      </c>
      <c r="B211" s="21" t="s">
        <v>264</v>
      </c>
      <c r="C211" s="30">
        <v>41916</v>
      </c>
      <c r="D211" s="30">
        <v>41923</v>
      </c>
      <c r="E211" s="21" t="s">
        <v>1270</v>
      </c>
      <c r="G211" s="764">
        <v>5712</v>
      </c>
      <c r="H211" s="21" t="s">
        <v>1271</v>
      </c>
      <c r="I211" s="21" t="s">
        <v>168</v>
      </c>
      <c r="J211" s="21" t="s">
        <v>51</v>
      </c>
      <c r="K211" s="21" t="s">
        <v>1273</v>
      </c>
      <c r="L211" s="21" t="s">
        <v>1272</v>
      </c>
      <c r="N211" s="50" t="s">
        <v>1274</v>
      </c>
      <c r="O211" s="1013">
        <f>890+70</f>
        <v>960</v>
      </c>
      <c r="Q211" s="21" t="s">
        <v>1275</v>
      </c>
      <c r="R211" s="876">
        <v>1</v>
      </c>
      <c r="S211" s="764">
        <v>5</v>
      </c>
      <c r="T211" s="764">
        <v>0</v>
      </c>
      <c r="U211" s="75">
        <v>960</v>
      </c>
      <c r="V211" s="78"/>
    </row>
    <row r="212" spans="1:26" s="21" customFormat="1" ht="12" customHeight="1">
      <c r="A212" s="115" t="s">
        <v>1745</v>
      </c>
      <c r="B212" s="115" t="s">
        <v>1746</v>
      </c>
      <c r="C212" s="116">
        <v>42917</v>
      </c>
      <c r="D212" s="116">
        <v>42924</v>
      </c>
      <c r="E212" s="115" t="s">
        <v>1747</v>
      </c>
      <c r="F212" s="115"/>
      <c r="G212" s="361" t="s">
        <v>1748</v>
      </c>
      <c r="H212" s="115" t="s">
        <v>1749</v>
      </c>
      <c r="I212" s="115" t="s">
        <v>18</v>
      </c>
      <c r="J212" s="115" t="s">
        <v>1023</v>
      </c>
      <c r="K212" s="115" t="s">
        <v>1770</v>
      </c>
      <c r="L212" s="115" t="s">
        <v>1750</v>
      </c>
      <c r="M212" s="115"/>
      <c r="N212" s="128" t="s">
        <v>1751</v>
      </c>
      <c r="O212" s="1027">
        <v>1180</v>
      </c>
      <c r="P212" s="115"/>
      <c r="Q212" s="115" t="s">
        <v>1752</v>
      </c>
      <c r="R212" s="682">
        <v>1</v>
      </c>
      <c r="S212" s="361"/>
      <c r="T212" s="361">
        <v>1</v>
      </c>
      <c r="U212" s="119">
        <f>O212/4</f>
        <v>295</v>
      </c>
      <c r="V212" s="120"/>
      <c r="W212" s="115" t="s">
        <v>1651</v>
      </c>
      <c r="X212" s="115" t="s">
        <v>1217</v>
      </c>
      <c r="Y212" s="115"/>
      <c r="Z212" s="115"/>
    </row>
    <row r="213" spans="1:26" s="21" customFormat="1" ht="12" customHeight="1">
      <c r="A213" s="983" t="s">
        <v>2938</v>
      </c>
      <c r="B213" s="983" t="s">
        <v>1293</v>
      </c>
      <c r="C213" s="984">
        <v>44352</v>
      </c>
      <c r="D213" s="984">
        <v>44366</v>
      </c>
      <c r="E213" s="985" t="s">
        <v>2939</v>
      </c>
      <c r="F213" s="983"/>
      <c r="G213" s="986"/>
      <c r="H213" s="987"/>
      <c r="I213" s="983" t="s">
        <v>18</v>
      </c>
      <c r="J213" s="983" t="s">
        <v>51</v>
      </c>
      <c r="K213" s="983"/>
      <c r="L213" s="985" t="s">
        <v>2940</v>
      </c>
      <c r="M213" s="983"/>
      <c r="N213" s="1120" t="s">
        <v>2941</v>
      </c>
      <c r="O213" s="1046">
        <f>1190*2</f>
        <v>2380</v>
      </c>
      <c r="P213" s="983"/>
      <c r="Q213" s="983" t="s">
        <v>1192</v>
      </c>
      <c r="R213" s="988">
        <v>2</v>
      </c>
      <c r="S213" s="986">
        <v>2</v>
      </c>
      <c r="T213" s="986">
        <v>2</v>
      </c>
      <c r="U213" s="1734"/>
      <c r="V213" s="990">
        <v>44346</v>
      </c>
      <c r="W213" s="983" t="s">
        <v>1769</v>
      </c>
      <c r="X213" s="983" t="s">
        <v>1154</v>
      </c>
      <c r="Y213" s="983"/>
      <c r="Z213" s="991"/>
    </row>
    <row r="214" spans="1:26" s="21" customFormat="1" ht="12" customHeight="1">
      <c r="A214" s="21" t="s">
        <v>1173</v>
      </c>
      <c r="B214" s="21" t="s">
        <v>1174</v>
      </c>
      <c r="C214" s="30">
        <v>41636</v>
      </c>
      <c r="D214" s="30">
        <v>41650</v>
      </c>
      <c r="E214" s="21" t="s">
        <v>1175</v>
      </c>
      <c r="G214" s="764" t="s">
        <v>1176</v>
      </c>
      <c r="H214" s="21" t="s">
        <v>868</v>
      </c>
      <c r="I214" s="21" t="s">
        <v>18</v>
      </c>
      <c r="J214" s="21" t="s">
        <v>51</v>
      </c>
      <c r="K214" s="21" t="s">
        <v>1177</v>
      </c>
      <c r="L214" s="21" t="s">
        <v>1178</v>
      </c>
      <c r="N214" s="50" t="s">
        <v>1179</v>
      </c>
      <c r="O214" s="1013">
        <f>1150+690+70</f>
        <v>1910</v>
      </c>
      <c r="Q214" s="21" t="s">
        <v>1185</v>
      </c>
      <c r="R214" s="876">
        <v>2</v>
      </c>
      <c r="S214" s="764" t="s">
        <v>1180</v>
      </c>
      <c r="T214" s="764">
        <v>2</v>
      </c>
      <c r="U214" s="23">
        <v>500</v>
      </c>
      <c r="V214" s="78">
        <v>41551</v>
      </c>
      <c r="W214" s="21" t="s">
        <v>1181</v>
      </c>
      <c r="X214" s="21" t="s">
        <v>1182</v>
      </c>
    </row>
    <row r="215" spans="1:26" s="21" customFormat="1" ht="12" customHeight="1">
      <c r="A215" s="21" t="s">
        <v>882</v>
      </c>
      <c r="B215" s="21" t="s">
        <v>528</v>
      </c>
      <c r="C215" s="30">
        <v>41034</v>
      </c>
      <c r="D215" s="30">
        <v>41044</v>
      </c>
      <c r="G215" s="764"/>
      <c r="I215" s="21" t="s">
        <v>884</v>
      </c>
      <c r="J215" s="21" t="s">
        <v>51</v>
      </c>
      <c r="K215" s="21" t="s">
        <v>885</v>
      </c>
      <c r="L215" s="21" t="s">
        <v>886</v>
      </c>
      <c r="N215" s="50" t="s">
        <v>887</v>
      </c>
      <c r="O215" s="1013">
        <f>1250+2*10*3+70</f>
        <v>1380</v>
      </c>
      <c r="R215" s="876">
        <v>2</v>
      </c>
      <c r="S215" s="764">
        <v>2</v>
      </c>
      <c r="T215" s="764">
        <v>2</v>
      </c>
      <c r="U215" s="75">
        <f>O215/4</f>
        <v>345</v>
      </c>
      <c r="V215" s="78">
        <v>40970</v>
      </c>
      <c r="W215" s="21" t="s">
        <v>791</v>
      </c>
    </row>
    <row r="216" spans="1:26" s="102" customFormat="1" ht="12" customHeight="1">
      <c r="A216" s="115" t="s">
        <v>1469</v>
      </c>
      <c r="B216" s="115" t="s">
        <v>1470</v>
      </c>
      <c r="C216" s="116">
        <v>42448</v>
      </c>
      <c r="D216" s="116">
        <v>42462</v>
      </c>
      <c r="E216" s="115" t="s">
        <v>1471</v>
      </c>
      <c r="F216" s="115"/>
      <c r="G216" s="361" t="s">
        <v>1472</v>
      </c>
      <c r="H216" s="115" t="s">
        <v>937</v>
      </c>
      <c r="I216" s="115" t="s">
        <v>18</v>
      </c>
      <c r="J216" s="115" t="s">
        <v>51</v>
      </c>
      <c r="K216" s="115" t="s">
        <v>1473</v>
      </c>
      <c r="L216" s="115" t="s">
        <v>1474</v>
      </c>
      <c r="M216" s="115"/>
      <c r="N216" s="363" t="s">
        <v>1068</v>
      </c>
      <c r="O216" s="1027">
        <f>690*2</f>
        <v>1380</v>
      </c>
      <c r="P216" s="115"/>
      <c r="Q216" s="115"/>
      <c r="R216" s="682">
        <v>2</v>
      </c>
      <c r="S216" s="361" t="s">
        <v>1476</v>
      </c>
      <c r="T216" s="361">
        <v>1</v>
      </c>
      <c r="U216" s="119">
        <v>345</v>
      </c>
      <c r="V216" s="120">
        <v>42324</v>
      </c>
      <c r="W216" s="120" t="s">
        <v>1477</v>
      </c>
      <c r="X216" s="115" t="s">
        <v>1154</v>
      </c>
      <c r="Y216" s="115"/>
      <c r="Z216" s="115"/>
    </row>
    <row r="217" spans="1:26" s="21" customFormat="1" ht="12" customHeight="1">
      <c r="A217" s="21" t="s">
        <v>395</v>
      </c>
      <c r="B217" s="21" t="s">
        <v>396</v>
      </c>
      <c r="C217" s="30">
        <v>39704</v>
      </c>
      <c r="D217" s="30">
        <v>39718</v>
      </c>
      <c r="E217" s="21" t="s">
        <v>397</v>
      </c>
      <c r="G217" s="764">
        <v>37269</v>
      </c>
      <c r="H217" s="21" t="s">
        <v>398</v>
      </c>
      <c r="I217" s="21" t="s">
        <v>18</v>
      </c>
      <c r="J217" s="21" t="s">
        <v>51</v>
      </c>
      <c r="K217" s="21" t="s">
        <v>399</v>
      </c>
      <c r="L217" s="21" t="s">
        <v>400</v>
      </c>
      <c r="N217" s="51" t="s">
        <v>401</v>
      </c>
      <c r="O217" s="1013">
        <v>2270</v>
      </c>
      <c r="R217" s="876">
        <v>2</v>
      </c>
      <c r="S217" s="764">
        <v>2</v>
      </c>
      <c r="T217" s="764">
        <v>1</v>
      </c>
      <c r="U217" s="23">
        <v>550</v>
      </c>
      <c r="V217" s="78"/>
    </row>
    <row r="218" spans="1:26" ht="12" customHeight="1">
      <c r="A218" s="21" t="s">
        <v>953</v>
      </c>
      <c r="B218" s="21" t="s">
        <v>954</v>
      </c>
      <c r="C218" s="30">
        <v>41161</v>
      </c>
      <c r="D218" s="30">
        <v>41174</v>
      </c>
      <c r="E218" s="21" t="s">
        <v>960</v>
      </c>
      <c r="F218" s="21"/>
      <c r="G218" s="764" t="s">
        <v>956</v>
      </c>
      <c r="H218" s="21" t="s">
        <v>955</v>
      </c>
      <c r="I218" s="21" t="s">
        <v>18</v>
      </c>
      <c r="J218" s="21" t="s">
        <v>51</v>
      </c>
      <c r="K218" s="21"/>
      <c r="L218" s="21" t="s">
        <v>957</v>
      </c>
      <c r="M218" s="21"/>
      <c r="N218" s="50" t="s">
        <v>958</v>
      </c>
      <c r="O218" s="1013">
        <f>990*2</f>
        <v>1980</v>
      </c>
      <c r="P218" s="21"/>
      <c r="Q218" s="21" t="s">
        <v>959</v>
      </c>
      <c r="R218" s="876">
        <v>2</v>
      </c>
      <c r="S218" s="764">
        <v>2</v>
      </c>
      <c r="T218" s="764">
        <v>3</v>
      </c>
      <c r="U218" s="77">
        <v>495</v>
      </c>
      <c r="V218" s="78">
        <v>41101</v>
      </c>
      <c r="W218" s="21" t="s">
        <v>791</v>
      </c>
      <c r="X218" s="21"/>
      <c r="Y218" s="21"/>
      <c r="Z218" s="21"/>
    </row>
    <row r="219" spans="1:26" ht="12" customHeight="1">
      <c r="A219" s="115" t="s">
        <v>3006</v>
      </c>
      <c r="B219" s="115" t="s">
        <v>3007</v>
      </c>
      <c r="C219" s="116">
        <v>44492</v>
      </c>
      <c r="D219" s="116">
        <v>44505</v>
      </c>
      <c r="E219" s="115" t="s">
        <v>3008</v>
      </c>
      <c r="F219" s="115"/>
      <c r="G219" s="361" t="s">
        <v>3009</v>
      </c>
      <c r="H219" s="115" t="s">
        <v>3010</v>
      </c>
      <c r="I219" s="115" t="s">
        <v>18</v>
      </c>
      <c r="J219" s="115" t="s">
        <v>51</v>
      </c>
      <c r="K219" s="124"/>
      <c r="L219" s="115" t="s">
        <v>3011</v>
      </c>
      <c r="M219" s="115"/>
      <c r="N219" s="128" t="s">
        <v>3012</v>
      </c>
      <c r="O219" s="1027">
        <f>990*2</f>
        <v>1980</v>
      </c>
      <c r="P219" s="115"/>
      <c r="Q219" s="115" t="s">
        <v>2674</v>
      </c>
      <c r="R219" s="682">
        <v>2</v>
      </c>
      <c r="S219" s="361">
        <v>2</v>
      </c>
      <c r="T219" s="361">
        <v>1</v>
      </c>
      <c r="U219" s="918">
        <v>500</v>
      </c>
      <c r="V219" s="120">
        <v>44406</v>
      </c>
      <c r="W219" s="115" t="s">
        <v>1338</v>
      </c>
      <c r="X219" s="115" t="s">
        <v>1154</v>
      </c>
      <c r="Y219" s="115"/>
      <c r="Z219" s="115"/>
    </row>
    <row r="220" spans="1:26" ht="12" customHeight="1">
      <c r="A220" s="115" t="s">
        <v>2784</v>
      </c>
      <c r="B220" s="115" t="s">
        <v>2785</v>
      </c>
      <c r="C220" s="116">
        <v>44450</v>
      </c>
      <c r="D220" s="116">
        <v>44464</v>
      </c>
      <c r="E220" s="115" t="s">
        <v>2786</v>
      </c>
      <c r="F220" s="115"/>
      <c r="G220" s="361" t="s">
        <v>2787</v>
      </c>
      <c r="H220" s="115" t="s">
        <v>2788</v>
      </c>
      <c r="I220" s="115" t="s">
        <v>18</v>
      </c>
      <c r="J220" s="115" t="s">
        <v>1023</v>
      </c>
      <c r="K220" s="124" t="s">
        <v>2790</v>
      </c>
      <c r="L220" s="115" t="s">
        <v>2789</v>
      </c>
      <c r="M220" s="115"/>
      <c r="N220" s="128" t="s">
        <v>2791</v>
      </c>
      <c r="O220" s="1044">
        <f>1590+1290+70</f>
        <v>2950</v>
      </c>
      <c r="P220" s="115"/>
      <c r="Q220" s="115" t="s">
        <v>2651</v>
      </c>
      <c r="R220" s="682">
        <v>2</v>
      </c>
      <c r="S220" s="361">
        <v>2</v>
      </c>
      <c r="T220" s="361">
        <v>1</v>
      </c>
      <c r="U220" s="918">
        <v>720</v>
      </c>
      <c r="V220" s="120">
        <v>44160</v>
      </c>
      <c r="W220" s="115" t="s">
        <v>1477</v>
      </c>
      <c r="X220" s="115" t="s">
        <v>1154</v>
      </c>
      <c r="Y220" s="115"/>
      <c r="Z220" s="115"/>
    </row>
    <row r="221" spans="1:26" ht="12" customHeight="1">
      <c r="A221" s="1148" t="s">
        <v>2784</v>
      </c>
      <c r="B221" s="1148" t="s">
        <v>2785</v>
      </c>
      <c r="C221" s="1149">
        <v>44807</v>
      </c>
      <c r="D221" s="1149">
        <v>44821</v>
      </c>
      <c r="E221" s="1148" t="s">
        <v>2786</v>
      </c>
      <c r="F221" s="1148"/>
      <c r="G221" s="1150" t="s">
        <v>2787</v>
      </c>
      <c r="H221" s="1148" t="s">
        <v>2788</v>
      </c>
      <c r="I221" s="1148" t="s">
        <v>18</v>
      </c>
      <c r="J221" s="1148" t="s">
        <v>1023</v>
      </c>
      <c r="K221" s="1187" t="s">
        <v>2790</v>
      </c>
      <c r="L221" s="1148" t="s">
        <v>2789</v>
      </c>
      <c r="M221" s="1148"/>
      <c r="N221" s="1151" t="s">
        <v>2791</v>
      </c>
      <c r="O221" s="1188">
        <f>1590+1590</f>
        <v>3180</v>
      </c>
      <c r="P221" s="1148"/>
      <c r="Q221" s="1148" t="s">
        <v>2651</v>
      </c>
      <c r="R221" s="1153">
        <v>2</v>
      </c>
      <c r="S221" s="1150">
        <v>2</v>
      </c>
      <c r="T221" s="1150">
        <v>1</v>
      </c>
      <c r="U221" s="1189">
        <v>795</v>
      </c>
      <c r="V221" s="1155">
        <v>44463</v>
      </c>
      <c r="W221" s="1148" t="s">
        <v>3015</v>
      </c>
      <c r="X221" s="1148" t="s">
        <v>1154</v>
      </c>
      <c r="Y221" s="1148"/>
      <c r="Z221" s="1148"/>
    </row>
    <row r="222" spans="1:26" ht="12" customHeight="1">
      <c r="A222" s="689" t="s">
        <v>2628</v>
      </c>
      <c r="B222" s="689" t="s">
        <v>2629</v>
      </c>
      <c r="C222" s="690">
        <v>44121</v>
      </c>
      <c r="D222" s="690">
        <v>44135</v>
      </c>
      <c r="E222" s="689" t="s">
        <v>2630</v>
      </c>
      <c r="F222" s="689"/>
      <c r="G222" s="691" t="s">
        <v>2631</v>
      </c>
      <c r="H222" s="689" t="s">
        <v>2632</v>
      </c>
      <c r="I222" s="689" t="s">
        <v>168</v>
      </c>
      <c r="J222" s="689" t="s">
        <v>51</v>
      </c>
      <c r="K222" s="689"/>
      <c r="L222" s="874" t="s">
        <v>2634</v>
      </c>
      <c r="M222" s="689"/>
      <c r="N222" s="874" t="s">
        <v>2633</v>
      </c>
      <c r="O222" s="1041">
        <v>0</v>
      </c>
      <c r="P222" s="689"/>
      <c r="Q222" s="689" t="s">
        <v>2635</v>
      </c>
      <c r="R222" s="696">
        <v>0</v>
      </c>
      <c r="S222" s="691">
        <v>2</v>
      </c>
      <c r="T222" s="691">
        <v>4</v>
      </c>
      <c r="U222" s="753">
        <v>495</v>
      </c>
      <c r="V222" s="695">
        <v>44025</v>
      </c>
      <c r="W222" s="689" t="s">
        <v>1338</v>
      </c>
      <c r="X222" s="689" t="s">
        <v>1154</v>
      </c>
      <c r="Y222" s="689"/>
      <c r="Z222" s="689"/>
    </row>
    <row r="223" spans="1:26" ht="12" customHeight="1">
      <c r="A223" s="689" t="s">
        <v>2628</v>
      </c>
      <c r="B223" s="689" t="s">
        <v>2629</v>
      </c>
      <c r="C223" s="690">
        <v>44471</v>
      </c>
      <c r="D223" s="690">
        <v>44485</v>
      </c>
      <c r="E223" s="689" t="s">
        <v>2630</v>
      </c>
      <c r="F223" s="689"/>
      <c r="G223" s="691" t="s">
        <v>2631</v>
      </c>
      <c r="H223" s="689" t="s">
        <v>2632</v>
      </c>
      <c r="I223" s="689" t="s">
        <v>168</v>
      </c>
      <c r="J223" s="689" t="s">
        <v>51</v>
      </c>
      <c r="K223" s="689"/>
      <c r="L223" s="874" t="s">
        <v>2634</v>
      </c>
      <c r="M223" s="689"/>
      <c r="N223" s="874" t="s">
        <v>2633</v>
      </c>
      <c r="O223" s="1041">
        <f>2*1190+3*4*14</f>
        <v>2548</v>
      </c>
      <c r="P223" s="689"/>
      <c r="Q223" s="689" t="s">
        <v>2635</v>
      </c>
      <c r="R223" s="696">
        <v>2</v>
      </c>
      <c r="S223" s="691">
        <v>2</v>
      </c>
      <c r="T223" s="691">
        <v>4</v>
      </c>
      <c r="U223" s="753">
        <v>495</v>
      </c>
      <c r="V223" s="695">
        <v>44025</v>
      </c>
      <c r="W223" s="689" t="s">
        <v>1338</v>
      </c>
      <c r="X223" s="689" t="s">
        <v>1154</v>
      </c>
      <c r="Y223" s="689"/>
      <c r="Z223" s="689"/>
    </row>
    <row r="224" spans="1:26" ht="12" customHeight="1">
      <c r="A224" s="1200" t="s">
        <v>2628</v>
      </c>
      <c r="B224" s="1136" t="s">
        <v>2629</v>
      </c>
      <c r="C224" s="1137">
        <v>44470</v>
      </c>
      <c r="D224" s="1137">
        <v>44484</v>
      </c>
      <c r="E224" s="1136" t="s">
        <v>2630</v>
      </c>
      <c r="F224" s="1136"/>
      <c r="G224" s="1139" t="s">
        <v>2631</v>
      </c>
      <c r="H224" s="1136" t="s">
        <v>2632</v>
      </c>
      <c r="I224" s="1136" t="s">
        <v>168</v>
      </c>
      <c r="J224" s="1136" t="s">
        <v>51</v>
      </c>
      <c r="K224" s="1136"/>
      <c r="L224" s="1146" t="s">
        <v>3349</v>
      </c>
      <c r="M224" s="1136"/>
      <c r="N224" s="1181" t="s">
        <v>2633</v>
      </c>
      <c r="O224" s="1141">
        <f>2*1190+3*4*14+70</f>
        <v>2618</v>
      </c>
      <c r="P224" s="1136"/>
      <c r="Q224" s="1136" t="s">
        <v>2635</v>
      </c>
      <c r="R224" s="1142">
        <v>2</v>
      </c>
      <c r="S224" s="1139">
        <v>2</v>
      </c>
      <c r="T224" s="1139">
        <v>4</v>
      </c>
      <c r="U224" s="1143">
        <v>595</v>
      </c>
      <c r="V224" s="1199">
        <v>44025</v>
      </c>
      <c r="W224" s="1136" t="s">
        <v>1338</v>
      </c>
      <c r="X224" s="1136" t="s">
        <v>1154</v>
      </c>
      <c r="Y224" s="1136"/>
      <c r="Z224" s="1136"/>
    </row>
    <row r="225" spans="1:26" ht="12" customHeight="1">
      <c r="A225" s="21" t="s">
        <v>1330</v>
      </c>
      <c r="B225" s="21" t="s">
        <v>1331</v>
      </c>
      <c r="C225" s="30">
        <v>42001</v>
      </c>
      <c r="D225" s="30">
        <v>42022</v>
      </c>
      <c r="E225" s="21" t="s">
        <v>1332</v>
      </c>
      <c r="F225" s="21"/>
      <c r="G225" s="764" t="s">
        <v>1333</v>
      </c>
      <c r="H225" s="21" t="s">
        <v>1334</v>
      </c>
      <c r="I225" s="21" t="s">
        <v>18</v>
      </c>
      <c r="J225" s="21" t="s">
        <v>51</v>
      </c>
      <c r="K225" s="21"/>
      <c r="L225" s="21" t="s">
        <v>1335</v>
      </c>
      <c r="M225" s="21"/>
      <c r="N225" s="50" t="s">
        <v>1336</v>
      </c>
      <c r="O225" s="1013">
        <f>960+180</f>
        <v>1140</v>
      </c>
      <c r="P225" s="21"/>
      <c r="Q225" s="21" t="s">
        <v>1337</v>
      </c>
      <c r="R225" s="876">
        <v>1</v>
      </c>
      <c r="S225" s="764">
        <v>2</v>
      </c>
      <c r="T225" s="764">
        <v>3</v>
      </c>
      <c r="U225" s="75"/>
      <c r="V225" s="78">
        <v>41962</v>
      </c>
      <c r="W225" s="21" t="s">
        <v>1338</v>
      </c>
      <c r="X225" s="21" t="s">
        <v>1217</v>
      </c>
      <c r="Y225" s="21"/>
      <c r="Z225" s="21"/>
    </row>
    <row r="226" spans="1:26" ht="12" customHeight="1">
      <c r="A226" s="21" t="s">
        <v>1330</v>
      </c>
      <c r="B226" s="21" t="s">
        <v>1331</v>
      </c>
      <c r="C226" s="30">
        <v>42001</v>
      </c>
      <c r="D226" s="30">
        <v>42022</v>
      </c>
      <c r="E226" s="21" t="s">
        <v>1332</v>
      </c>
      <c r="F226" s="21"/>
      <c r="G226" s="764" t="s">
        <v>1333</v>
      </c>
      <c r="H226" s="21" t="s">
        <v>1334</v>
      </c>
      <c r="I226" s="21" t="s">
        <v>18</v>
      </c>
      <c r="J226" s="21" t="s">
        <v>51</v>
      </c>
      <c r="K226" s="21"/>
      <c r="L226" s="21" t="s">
        <v>1335</v>
      </c>
      <c r="M226" s="21"/>
      <c r="N226" s="50" t="s">
        <v>1339</v>
      </c>
      <c r="O226" s="1013">
        <f>2200-960</f>
        <v>1240</v>
      </c>
      <c r="P226" s="21"/>
      <c r="Q226" s="21" t="s">
        <v>1337</v>
      </c>
      <c r="R226" s="876">
        <v>2</v>
      </c>
      <c r="S226" s="764">
        <v>2</v>
      </c>
      <c r="T226" s="764">
        <v>3</v>
      </c>
      <c r="U226" s="75"/>
      <c r="V226" s="78">
        <v>41962</v>
      </c>
      <c r="W226" s="21" t="s">
        <v>1338</v>
      </c>
      <c r="X226" s="21" t="s">
        <v>1217</v>
      </c>
      <c r="Y226" s="21"/>
      <c r="Z226" s="21"/>
    </row>
    <row r="227" spans="1:26" ht="12" customHeight="1">
      <c r="A227" s="838" t="s">
        <v>1492</v>
      </c>
      <c r="B227" s="838" t="s">
        <v>264</v>
      </c>
      <c r="C227" s="839">
        <v>42616</v>
      </c>
      <c r="D227" s="839">
        <v>42630</v>
      </c>
      <c r="E227" s="838" t="s">
        <v>1491</v>
      </c>
      <c r="F227" s="838"/>
      <c r="G227" s="840" t="s">
        <v>1493</v>
      </c>
      <c r="H227" s="838" t="s">
        <v>187</v>
      </c>
      <c r="I227" s="838" t="s">
        <v>18</v>
      </c>
      <c r="J227" s="838" t="s">
        <v>51</v>
      </c>
      <c r="K227" s="841" t="s">
        <v>1494</v>
      </c>
      <c r="L227" s="841" t="s">
        <v>1495</v>
      </c>
      <c r="M227" s="838"/>
      <c r="N227" s="861" t="s">
        <v>1566</v>
      </c>
      <c r="O227" s="1029" t="s">
        <v>1566</v>
      </c>
      <c r="P227" s="838"/>
      <c r="Q227" s="838" t="s">
        <v>1666</v>
      </c>
      <c r="R227" s="887">
        <v>0</v>
      </c>
      <c r="S227" s="840" t="s">
        <v>1496</v>
      </c>
      <c r="T227" s="840">
        <v>2</v>
      </c>
      <c r="U227" s="843">
        <v>645</v>
      </c>
      <c r="V227" s="844">
        <v>42346</v>
      </c>
      <c r="W227" s="838" t="s">
        <v>1477</v>
      </c>
      <c r="X227" s="838" t="s">
        <v>1154</v>
      </c>
      <c r="Y227" s="838"/>
      <c r="Z227" s="838"/>
    </row>
    <row r="228" spans="1:26" ht="12" customHeight="1">
      <c r="A228" s="838" t="s">
        <v>1492</v>
      </c>
      <c r="B228" s="838" t="s">
        <v>264</v>
      </c>
      <c r="C228" s="839">
        <v>42980</v>
      </c>
      <c r="D228" s="839">
        <v>42994</v>
      </c>
      <c r="E228" s="838" t="s">
        <v>1491</v>
      </c>
      <c r="F228" s="838"/>
      <c r="G228" s="840" t="s">
        <v>1493</v>
      </c>
      <c r="H228" s="838" t="s">
        <v>187</v>
      </c>
      <c r="I228" s="838" t="s">
        <v>18</v>
      </c>
      <c r="J228" s="838" t="s">
        <v>51</v>
      </c>
      <c r="K228" s="838" t="s">
        <v>1494</v>
      </c>
      <c r="L228" s="838" t="s">
        <v>1495</v>
      </c>
      <c r="M228" s="838"/>
      <c r="N228" s="861" t="s">
        <v>1566</v>
      </c>
      <c r="O228" s="1034"/>
      <c r="P228" s="838"/>
      <c r="Q228" s="842">
        <f>U228*4</f>
        <v>2580</v>
      </c>
      <c r="R228" s="887">
        <v>0</v>
      </c>
      <c r="S228" s="840" t="s">
        <v>1496</v>
      </c>
      <c r="T228" s="840">
        <v>2</v>
      </c>
      <c r="U228" s="843">
        <v>645</v>
      </c>
      <c r="V228" s="844">
        <v>42346</v>
      </c>
      <c r="W228" s="838" t="s">
        <v>1477</v>
      </c>
      <c r="X228" s="838" t="s">
        <v>1154</v>
      </c>
      <c r="Y228" s="838"/>
      <c r="Z228" s="838"/>
    </row>
    <row r="229" spans="1:26" ht="12" customHeight="1">
      <c r="A229" s="921" t="s">
        <v>3555</v>
      </c>
      <c r="B229" s="115" t="s">
        <v>264</v>
      </c>
      <c r="C229" s="116">
        <v>45500</v>
      </c>
      <c r="D229" s="116">
        <v>45514</v>
      </c>
      <c r="E229" s="115" t="s">
        <v>3556</v>
      </c>
      <c r="F229" s="115"/>
      <c r="G229" s="361" t="s">
        <v>3557</v>
      </c>
      <c r="H229" s="115" t="s">
        <v>3558</v>
      </c>
      <c r="I229" s="115" t="s">
        <v>18</v>
      </c>
      <c r="J229" s="115" t="s">
        <v>1023</v>
      </c>
      <c r="K229" s="124" t="s">
        <v>3559</v>
      </c>
      <c r="L229" s="115" t="s">
        <v>3560</v>
      </c>
      <c r="M229" s="115"/>
      <c r="N229" s="363" t="s">
        <v>3561</v>
      </c>
      <c r="O229" s="1027">
        <f>2490*2</f>
        <v>4980</v>
      </c>
      <c r="P229" s="115"/>
      <c r="Q229" s="115" t="s">
        <v>3562</v>
      </c>
      <c r="R229" s="682">
        <v>2</v>
      </c>
      <c r="S229" s="361">
        <v>4</v>
      </c>
      <c r="T229" s="361">
        <v>2</v>
      </c>
      <c r="U229" s="918">
        <v>1245</v>
      </c>
      <c r="V229" s="120">
        <v>45525</v>
      </c>
      <c r="W229" s="115" t="s">
        <v>1477</v>
      </c>
      <c r="X229" s="115" t="s">
        <v>1154</v>
      </c>
      <c r="Y229" s="115" t="s">
        <v>3905</v>
      </c>
      <c r="Z229" s="115"/>
    </row>
    <row r="230" spans="1:26" ht="12" customHeight="1">
      <c r="A230" s="355" t="s">
        <v>2008</v>
      </c>
      <c r="B230" s="355" t="s">
        <v>1588</v>
      </c>
      <c r="C230" s="357">
        <v>43561</v>
      </c>
      <c r="D230" s="357">
        <v>43575</v>
      </c>
      <c r="E230" s="355" t="s">
        <v>2009</v>
      </c>
      <c r="F230" s="355"/>
      <c r="G230" s="358" t="s">
        <v>2010</v>
      </c>
      <c r="H230" s="367" t="s">
        <v>2011</v>
      </c>
      <c r="I230" s="355" t="s">
        <v>18</v>
      </c>
      <c r="J230" s="355" t="s">
        <v>1023</v>
      </c>
      <c r="K230" s="355"/>
      <c r="L230" s="368" t="s">
        <v>2012</v>
      </c>
      <c r="M230" s="355"/>
      <c r="N230" s="365" t="s">
        <v>2013</v>
      </c>
      <c r="O230" s="1036">
        <f>790*2</f>
        <v>1580</v>
      </c>
      <c r="P230" s="355"/>
      <c r="Q230" s="355" t="s">
        <v>2014</v>
      </c>
      <c r="R230" s="891">
        <v>2</v>
      </c>
      <c r="S230" s="358">
        <v>5</v>
      </c>
      <c r="T230" s="358">
        <v>1</v>
      </c>
      <c r="U230" s="356" t="s">
        <v>1154</v>
      </c>
      <c r="V230" s="360"/>
      <c r="W230" s="355"/>
      <c r="X230" s="355"/>
      <c r="Y230" s="355"/>
      <c r="Z230" s="355"/>
    </row>
    <row r="231" spans="1:26" ht="12" customHeight="1">
      <c r="A231" s="1482"/>
      <c r="B231" s="820" t="s">
        <v>3633</v>
      </c>
      <c r="C231" s="821">
        <v>45178</v>
      </c>
      <c r="D231" s="821">
        <v>45199</v>
      </c>
      <c r="E231" s="820"/>
      <c r="F231" s="820"/>
      <c r="G231" s="822"/>
      <c r="H231" s="820"/>
      <c r="I231" s="820" t="s">
        <v>18</v>
      </c>
      <c r="J231" s="820" t="s">
        <v>51</v>
      </c>
      <c r="K231" s="820" t="s">
        <v>3630</v>
      </c>
      <c r="L231" s="820" t="s">
        <v>3327</v>
      </c>
      <c r="M231" s="820"/>
      <c r="N231" s="1458" t="s">
        <v>3632</v>
      </c>
      <c r="O231" s="1484"/>
      <c r="P231" s="820"/>
      <c r="Q231" s="820"/>
      <c r="R231" s="885"/>
      <c r="S231" s="822"/>
      <c r="T231" s="822"/>
      <c r="U231" s="1485"/>
      <c r="V231" s="825"/>
      <c r="W231" s="820"/>
      <c r="X231" s="820"/>
      <c r="Y231" s="820"/>
      <c r="Z231" s="820"/>
    </row>
    <row r="232" spans="1:26" ht="12" customHeight="1">
      <c r="A232" s="820" t="s">
        <v>3290</v>
      </c>
      <c r="B232" s="820" t="s">
        <v>24</v>
      </c>
      <c r="C232" s="821">
        <v>45066</v>
      </c>
      <c r="D232" s="821">
        <v>45073</v>
      </c>
      <c r="E232" s="820" t="s">
        <v>3291</v>
      </c>
      <c r="F232" s="820"/>
      <c r="G232" s="822" t="s">
        <v>3292</v>
      </c>
      <c r="H232" s="820" t="s">
        <v>3293</v>
      </c>
      <c r="I232" s="820" t="s">
        <v>18</v>
      </c>
      <c r="J232" s="820" t="s">
        <v>3294</v>
      </c>
      <c r="K232" s="820" t="s">
        <v>3296</v>
      </c>
      <c r="L232" s="820" t="s">
        <v>3295</v>
      </c>
      <c r="M232" s="820"/>
      <c r="N232" s="1458" t="s">
        <v>3297</v>
      </c>
      <c r="O232" s="1026">
        <f>350+1152</f>
        <v>1502</v>
      </c>
      <c r="P232" s="820"/>
      <c r="Q232" s="820" t="s">
        <v>3298</v>
      </c>
      <c r="R232" s="885">
        <v>1</v>
      </c>
      <c r="S232" s="822">
        <v>4</v>
      </c>
      <c r="T232" s="822">
        <v>2</v>
      </c>
      <c r="U232" s="824">
        <v>350</v>
      </c>
      <c r="V232" s="825">
        <v>44745</v>
      </c>
      <c r="W232" s="820" t="s">
        <v>1477</v>
      </c>
      <c r="X232" s="820" t="s">
        <v>1154</v>
      </c>
      <c r="Y232" s="820" t="s">
        <v>3304</v>
      </c>
      <c r="Z232" s="820"/>
    </row>
    <row r="233" spans="1:26" ht="12" customHeight="1">
      <c r="A233" s="115" t="s">
        <v>1599</v>
      </c>
      <c r="B233" s="115" t="s">
        <v>228</v>
      </c>
      <c r="C233" s="116">
        <v>42602</v>
      </c>
      <c r="D233" s="116">
        <v>42609</v>
      </c>
      <c r="E233" s="115" t="s">
        <v>1604</v>
      </c>
      <c r="F233" s="115"/>
      <c r="G233" s="361" t="s">
        <v>1605</v>
      </c>
      <c r="H233" s="115" t="s">
        <v>1606</v>
      </c>
      <c r="I233" s="115" t="s">
        <v>36</v>
      </c>
      <c r="J233" s="115" t="s">
        <v>1600</v>
      </c>
      <c r="K233" s="115"/>
      <c r="L233" s="831" t="s">
        <v>1623</v>
      </c>
      <c r="M233" s="115"/>
      <c r="N233" s="128" t="s">
        <v>1727</v>
      </c>
      <c r="O233" s="1027">
        <v>1290</v>
      </c>
      <c r="P233" s="115"/>
      <c r="Q233" s="115" t="s">
        <v>1603</v>
      </c>
      <c r="R233" s="682">
        <v>1</v>
      </c>
      <c r="S233" s="361"/>
      <c r="T233" s="361"/>
      <c r="U233" s="119">
        <v>400</v>
      </c>
      <c r="V233" s="120"/>
      <c r="W233" s="115"/>
      <c r="X233" s="115"/>
      <c r="Y233" s="115"/>
      <c r="Z233" s="115"/>
    </row>
    <row r="234" spans="1:26" ht="12" customHeight="1">
      <c r="A234" s="21" t="s">
        <v>423</v>
      </c>
      <c r="B234" s="21" t="s">
        <v>425</v>
      </c>
      <c r="C234" s="30">
        <v>39690</v>
      </c>
      <c r="D234" s="30">
        <v>39697</v>
      </c>
      <c r="E234" s="21" t="s">
        <v>426</v>
      </c>
      <c r="F234" s="21"/>
      <c r="G234" s="764"/>
      <c r="H234" s="21"/>
      <c r="I234" s="21" t="s">
        <v>429</v>
      </c>
      <c r="J234" s="21" t="s">
        <v>424</v>
      </c>
      <c r="K234" s="21" t="s">
        <v>428</v>
      </c>
      <c r="L234" s="21" t="s">
        <v>427</v>
      </c>
      <c r="M234" s="21"/>
      <c r="N234" s="51"/>
      <c r="O234" s="1013">
        <v>1200</v>
      </c>
      <c r="P234" s="21"/>
      <c r="Q234" s="21"/>
      <c r="R234" s="876">
        <v>1</v>
      </c>
      <c r="S234" s="764">
        <v>7</v>
      </c>
      <c r="T234" s="764"/>
      <c r="U234" s="23">
        <v>300</v>
      </c>
      <c r="V234" s="78"/>
      <c r="W234" s="21"/>
      <c r="X234" s="21"/>
      <c r="Y234" s="21"/>
      <c r="Z234" s="21"/>
    </row>
    <row r="235" spans="1:26" ht="12" customHeight="1">
      <c r="A235" s="8" t="s">
        <v>303</v>
      </c>
      <c r="B235" s="8" t="s">
        <v>246</v>
      </c>
      <c r="C235" s="31">
        <v>38563</v>
      </c>
      <c r="D235" s="31">
        <v>38577</v>
      </c>
      <c r="E235" s="8" t="s">
        <v>251</v>
      </c>
      <c r="G235" s="132">
        <v>42000</v>
      </c>
      <c r="H235" s="8" t="s">
        <v>247</v>
      </c>
      <c r="I235" s="8" t="s">
        <v>23</v>
      </c>
      <c r="J235" s="8" t="s">
        <v>19</v>
      </c>
      <c r="K235" s="8" t="s">
        <v>248</v>
      </c>
      <c r="L235" s="8" t="s">
        <v>249</v>
      </c>
      <c r="N235" s="49"/>
      <c r="O235" s="1012">
        <v>1300</v>
      </c>
      <c r="R235" s="685">
        <v>2</v>
      </c>
      <c r="S235" s="132">
        <v>3</v>
      </c>
      <c r="U235" s="13" t="s">
        <v>232</v>
      </c>
    </row>
    <row r="236" spans="1:26" ht="12" customHeight="1">
      <c r="A236" s="115" t="s">
        <v>2254</v>
      </c>
      <c r="B236" s="115" t="s">
        <v>2253</v>
      </c>
      <c r="C236" s="116">
        <v>43603</v>
      </c>
      <c r="D236" s="116">
        <v>43610</v>
      </c>
      <c r="E236" s="115" t="s">
        <v>2255</v>
      </c>
      <c r="F236" s="115"/>
      <c r="G236" s="361" t="s">
        <v>2256</v>
      </c>
      <c r="H236" s="364" t="s">
        <v>2257</v>
      </c>
      <c r="I236" s="115" t="s">
        <v>18</v>
      </c>
      <c r="J236" s="115" t="s">
        <v>19</v>
      </c>
      <c r="K236" s="115"/>
      <c r="L236" s="124" t="s">
        <v>2258</v>
      </c>
      <c r="M236" s="115"/>
      <c r="N236" s="128" t="s">
        <v>2259</v>
      </c>
      <c r="O236" s="1027">
        <v>990</v>
      </c>
      <c r="P236" s="115"/>
      <c r="Q236" s="115" t="s">
        <v>2260</v>
      </c>
      <c r="R236" s="682">
        <v>1</v>
      </c>
      <c r="S236" s="361">
        <v>4</v>
      </c>
      <c r="T236" s="361">
        <v>1</v>
      </c>
      <c r="U236" s="119">
        <v>250</v>
      </c>
      <c r="V236" s="120">
        <v>43550</v>
      </c>
      <c r="W236" s="120" t="s">
        <v>1477</v>
      </c>
      <c r="X236" s="115"/>
      <c r="Y236" s="115"/>
      <c r="Z236" s="115"/>
    </row>
    <row r="237" spans="1:26" ht="12" customHeight="1">
      <c r="A237" s="21" t="s">
        <v>415</v>
      </c>
      <c r="B237" s="21" t="s">
        <v>706</v>
      </c>
      <c r="C237" s="30">
        <v>39557</v>
      </c>
      <c r="D237" s="30">
        <v>39564</v>
      </c>
      <c r="E237" s="21" t="s">
        <v>411</v>
      </c>
      <c r="F237" s="21"/>
      <c r="G237" s="764">
        <v>78690</v>
      </c>
      <c r="H237" s="21"/>
      <c r="I237" s="21" t="s">
        <v>23</v>
      </c>
      <c r="J237" s="21" t="s">
        <v>19</v>
      </c>
      <c r="K237" s="21" t="s">
        <v>412</v>
      </c>
      <c r="L237" s="21" t="s">
        <v>414</v>
      </c>
      <c r="M237" s="21"/>
      <c r="N237" s="50"/>
      <c r="O237" s="1013">
        <v>898</v>
      </c>
      <c r="P237" s="21"/>
      <c r="Q237" s="21" t="s">
        <v>419</v>
      </c>
      <c r="R237" s="876">
        <v>1</v>
      </c>
      <c r="S237" s="764">
        <v>6</v>
      </c>
      <c r="T237" s="764"/>
      <c r="U237" s="23">
        <v>200</v>
      </c>
      <c r="V237" s="78"/>
      <c r="W237" s="21"/>
      <c r="X237" s="21"/>
      <c r="Y237" s="21"/>
      <c r="Z237" s="21"/>
    </row>
    <row r="238" spans="1:26" ht="12" customHeight="1">
      <c r="A238" s="61" t="s">
        <v>415</v>
      </c>
      <c r="B238" s="61" t="s">
        <v>706</v>
      </c>
      <c r="C238" s="62">
        <v>40642</v>
      </c>
      <c r="D238" s="62">
        <v>40649</v>
      </c>
      <c r="E238" s="61" t="s">
        <v>411</v>
      </c>
      <c r="F238" s="61"/>
      <c r="G238" s="802">
        <v>78690</v>
      </c>
      <c r="H238" s="61" t="s">
        <v>707</v>
      </c>
      <c r="I238" s="61" t="s">
        <v>23</v>
      </c>
      <c r="J238" s="61" t="s">
        <v>19</v>
      </c>
      <c r="K238" s="61" t="s">
        <v>412</v>
      </c>
      <c r="L238" s="61" t="s">
        <v>414</v>
      </c>
      <c r="M238" s="61"/>
      <c r="N238" s="63"/>
      <c r="O238" s="1022">
        <f>790+21</f>
        <v>811</v>
      </c>
      <c r="P238" s="61"/>
      <c r="Q238" s="61" t="s">
        <v>708</v>
      </c>
      <c r="R238" s="882">
        <v>1</v>
      </c>
      <c r="S238" s="802">
        <v>6</v>
      </c>
      <c r="T238" s="802">
        <v>1</v>
      </c>
      <c r="U238" s="65">
        <v>197</v>
      </c>
      <c r="V238" s="1601"/>
      <c r="W238" s="61"/>
      <c r="X238" s="61"/>
      <c r="Y238" s="61"/>
      <c r="Z238" s="61"/>
    </row>
    <row r="239" spans="1:26" ht="12" customHeight="1">
      <c r="A239" s="1615" t="s">
        <v>3782</v>
      </c>
      <c r="B239" s="498" t="s">
        <v>3783</v>
      </c>
      <c r="C239" s="499">
        <v>45374</v>
      </c>
      <c r="D239" s="499">
        <v>45381</v>
      </c>
      <c r="E239" s="498" t="s">
        <v>3784</v>
      </c>
      <c r="F239" s="498"/>
      <c r="G239" s="500" t="s">
        <v>3785</v>
      </c>
      <c r="H239" s="498" t="s">
        <v>3786</v>
      </c>
      <c r="I239" s="498" t="s">
        <v>3787</v>
      </c>
      <c r="J239" s="498" t="s">
        <v>19</v>
      </c>
      <c r="K239" s="688" t="s">
        <v>3788</v>
      </c>
      <c r="L239" s="498" t="s">
        <v>3789</v>
      </c>
      <c r="M239" s="498"/>
      <c r="N239" s="501" t="s">
        <v>3790</v>
      </c>
      <c r="O239" s="1040">
        <f>1090+42+70</f>
        <v>1202</v>
      </c>
      <c r="P239" s="498"/>
      <c r="Q239" s="498" t="s">
        <v>3460</v>
      </c>
      <c r="R239" s="894">
        <v>1</v>
      </c>
      <c r="S239" s="500">
        <v>3</v>
      </c>
      <c r="T239" s="500">
        <v>2</v>
      </c>
      <c r="U239" s="1616" t="s">
        <v>3809</v>
      </c>
      <c r="V239" s="504">
        <v>45287</v>
      </c>
      <c r="W239" s="498" t="s">
        <v>1769</v>
      </c>
      <c r="X239" s="498" t="s">
        <v>1154</v>
      </c>
      <c r="Y239" s="498"/>
      <c r="Z239" s="498"/>
    </row>
    <row r="240" spans="1:26" ht="12" customHeight="1" thickBot="1">
      <c r="A240" s="21" t="s">
        <v>430</v>
      </c>
      <c r="B240" s="21" t="s">
        <v>431</v>
      </c>
      <c r="C240" s="30">
        <v>39583</v>
      </c>
      <c r="D240" s="30">
        <v>39592</v>
      </c>
      <c r="E240" s="21" t="s">
        <v>432</v>
      </c>
      <c r="F240" s="21"/>
      <c r="G240" s="764">
        <v>60380</v>
      </c>
      <c r="H240" s="21" t="s">
        <v>433</v>
      </c>
      <c r="I240" s="21" t="s">
        <v>23</v>
      </c>
      <c r="J240" s="21" t="s">
        <v>19</v>
      </c>
      <c r="K240" s="21" t="s">
        <v>435</v>
      </c>
      <c r="L240" s="21" t="s">
        <v>436</v>
      </c>
      <c r="M240" s="21"/>
      <c r="N240" s="50" t="s">
        <v>434</v>
      </c>
      <c r="O240" s="1013">
        <v>1100</v>
      </c>
      <c r="P240" s="21"/>
      <c r="Q240" s="21" t="s">
        <v>440</v>
      </c>
      <c r="R240" s="876">
        <v>1</v>
      </c>
      <c r="S240" s="764">
        <v>2</v>
      </c>
      <c r="T240" s="764">
        <v>1</v>
      </c>
      <c r="U240" s="1738">
        <v>250</v>
      </c>
      <c r="V240" s="78"/>
      <c r="W240" s="21"/>
      <c r="X240" s="21"/>
      <c r="Y240" s="21"/>
      <c r="Z240" s="21"/>
    </row>
    <row r="241" spans="1:26" ht="12" customHeight="1" thickBot="1">
      <c r="A241" s="517" t="s">
        <v>1567</v>
      </c>
      <c r="B241" s="539" t="s">
        <v>1568</v>
      </c>
      <c r="C241" s="116">
        <v>42588</v>
      </c>
      <c r="D241" s="651">
        <v>42595</v>
      </c>
      <c r="E241" s="539" t="s">
        <v>1569</v>
      </c>
      <c r="F241" s="115"/>
      <c r="G241" s="361">
        <v>57310</v>
      </c>
      <c r="H241" s="115" t="s">
        <v>1570</v>
      </c>
      <c r="I241" s="115" t="s">
        <v>23</v>
      </c>
      <c r="J241" s="115" t="s">
        <v>19</v>
      </c>
      <c r="K241" s="115" t="s">
        <v>1571</v>
      </c>
      <c r="L241" s="115"/>
      <c r="M241" s="115"/>
      <c r="N241" s="128" t="s">
        <v>1690</v>
      </c>
      <c r="O241" s="1027">
        <v>1990</v>
      </c>
      <c r="P241" s="115"/>
      <c r="Q241" s="115" t="s">
        <v>1573</v>
      </c>
      <c r="R241" s="682">
        <v>1</v>
      </c>
      <c r="S241" s="361">
        <v>5</v>
      </c>
      <c r="T241" s="361"/>
      <c r="U241" s="598">
        <v>500</v>
      </c>
      <c r="V241" s="120">
        <v>42470</v>
      </c>
      <c r="W241" s="115" t="s">
        <v>1281</v>
      </c>
      <c r="X241" s="115" t="s">
        <v>1154</v>
      </c>
      <c r="Y241" s="115"/>
      <c r="Z241" s="115"/>
    </row>
    <row r="242" spans="1:26" ht="12" customHeight="1" thickBot="1">
      <c r="A242" s="56" t="s">
        <v>444</v>
      </c>
      <c r="B242" s="1271" t="s">
        <v>256</v>
      </c>
      <c r="C242" s="1293">
        <v>39724</v>
      </c>
      <c r="D242" s="1310">
        <v>39738</v>
      </c>
      <c r="E242" s="1331"/>
      <c r="F242" s="21"/>
      <c r="G242" s="764"/>
      <c r="H242" s="21"/>
      <c r="I242" s="21" t="s">
        <v>18</v>
      </c>
      <c r="J242" s="21" t="s">
        <v>19</v>
      </c>
      <c r="K242" s="21"/>
      <c r="L242" s="21"/>
      <c r="M242" s="21"/>
      <c r="N242" s="50"/>
      <c r="O242" s="1013">
        <v>1642</v>
      </c>
      <c r="P242" s="21"/>
      <c r="Q242" s="21"/>
      <c r="R242" s="876">
        <v>2</v>
      </c>
      <c r="S242" s="764">
        <v>5</v>
      </c>
      <c r="T242" s="764">
        <v>1</v>
      </c>
      <c r="U242" s="1364">
        <v>400</v>
      </c>
      <c r="V242" s="78"/>
      <c r="W242" s="21"/>
      <c r="X242" s="21"/>
      <c r="Y242" s="21"/>
      <c r="Z242" s="21"/>
    </row>
    <row r="243" spans="1:26" ht="12" customHeight="1" thickBot="1">
      <c r="A243" s="21" t="s">
        <v>444</v>
      </c>
      <c r="B243" s="21" t="s">
        <v>256</v>
      </c>
      <c r="C243" s="30">
        <v>41552</v>
      </c>
      <c r="D243" s="1310">
        <v>41559</v>
      </c>
      <c r="E243" s="1331"/>
      <c r="F243" s="21"/>
      <c r="G243" s="764"/>
      <c r="H243" s="21"/>
      <c r="I243" s="21" t="s">
        <v>18</v>
      </c>
      <c r="J243" s="21" t="s">
        <v>19</v>
      </c>
      <c r="K243" s="21"/>
      <c r="L243" s="21" t="s">
        <v>1145</v>
      </c>
      <c r="M243" s="21"/>
      <c r="N243" s="50"/>
      <c r="O243" s="1013">
        <v>790</v>
      </c>
      <c r="P243" s="21"/>
      <c r="Q243" s="21"/>
      <c r="R243" s="876">
        <v>1</v>
      </c>
      <c r="S243" s="764">
        <v>2</v>
      </c>
      <c r="T243" s="764">
        <v>0</v>
      </c>
      <c r="U243" s="1364">
        <v>200</v>
      </c>
      <c r="V243" s="78"/>
      <c r="W243" s="21" t="s">
        <v>1144</v>
      </c>
      <c r="X243" s="21"/>
      <c r="Y243" s="21"/>
      <c r="Z243" s="21"/>
    </row>
    <row r="244" spans="1:26" ht="12" customHeight="1" thickBot="1">
      <c r="A244" s="1256" t="s">
        <v>1166</v>
      </c>
      <c r="B244" s="1282" t="s">
        <v>1167</v>
      </c>
      <c r="C244" s="30">
        <v>41548</v>
      </c>
      <c r="D244" s="1310">
        <v>41552</v>
      </c>
      <c r="E244" s="1331"/>
      <c r="F244" s="21"/>
      <c r="G244" s="764"/>
      <c r="H244" s="21"/>
      <c r="I244" s="21" t="s">
        <v>168</v>
      </c>
      <c r="J244" s="21" t="s">
        <v>19</v>
      </c>
      <c r="K244" s="21"/>
      <c r="L244" s="21"/>
      <c r="M244" s="21"/>
      <c r="N244" s="50" t="s">
        <v>1168</v>
      </c>
      <c r="O244" s="1013">
        <f>500+40</f>
        <v>540</v>
      </c>
      <c r="P244" s="21"/>
      <c r="Q244" s="21" t="s">
        <v>1025</v>
      </c>
      <c r="R244" s="876">
        <v>1</v>
      </c>
      <c r="S244" s="764" t="s">
        <v>1025</v>
      </c>
      <c r="T244" s="764">
        <v>1</v>
      </c>
      <c r="U244" s="1367">
        <v>0</v>
      </c>
      <c r="V244" s="78">
        <v>41546</v>
      </c>
      <c r="W244" s="21" t="s">
        <v>1169</v>
      </c>
      <c r="X244" s="21"/>
      <c r="Y244" s="21"/>
      <c r="Z244" s="21"/>
    </row>
    <row r="245" spans="1:26" ht="12" customHeight="1" thickBot="1">
      <c r="A245" s="21" t="s">
        <v>515</v>
      </c>
      <c r="B245" s="21" t="s">
        <v>516</v>
      </c>
      <c r="C245" s="30">
        <v>39963</v>
      </c>
      <c r="D245" s="1310">
        <v>39991</v>
      </c>
      <c r="E245" s="1331"/>
      <c r="F245" s="21"/>
      <c r="G245" s="764"/>
      <c r="H245" s="21"/>
      <c r="I245" s="21" t="s">
        <v>18</v>
      </c>
      <c r="J245" s="21" t="s">
        <v>19</v>
      </c>
      <c r="K245" s="21" t="s">
        <v>518</v>
      </c>
      <c r="L245" s="21"/>
      <c r="M245" s="21"/>
      <c r="N245" s="50" t="s">
        <v>514</v>
      </c>
      <c r="O245" s="1013">
        <v>2800</v>
      </c>
      <c r="P245" s="21"/>
      <c r="Q245" s="21" t="s">
        <v>517</v>
      </c>
      <c r="R245" s="876">
        <v>3</v>
      </c>
      <c r="S245" s="764">
        <v>3</v>
      </c>
      <c r="T245" s="764"/>
      <c r="U245" s="1357">
        <v>700</v>
      </c>
      <c r="V245" s="78"/>
      <c r="W245" s="21"/>
      <c r="X245" s="21"/>
      <c r="Y245" s="21"/>
      <c r="Z245" s="21"/>
    </row>
    <row r="246" spans="1:26" ht="12" customHeight="1" thickBot="1">
      <c r="A246" s="517" t="s">
        <v>1526</v>
      </c>
      <c r="B246" s="539" t="s">
        <v>1527</v>
      </c>
      <c r="C246" s="116">
        <v>42476</v>
      </c>
      <c r="D246" s="568">
        <v>42483</v>
      </c>
      <c r="E246" s="535" t="s">
        <v>1528</v>
      </c>
      <c r="F246" s="115"/>
      <c r="G246" s="361">
        <v>89210</v>
      </c>
      <c r="H246" s="115" t="s">
        <v>1529</v>
      </c>
      <c r="I246" s="115" t="s">
        <v>23</v>
      </c>
      <c r="J246" s="115" t="s">
        <v>19</v>
      </c>
      <c r="K246" s="115" t="s">
        <v>1530</v>
      </c>
      <c r="L246" s="115" t="s">
        <v>1531</v>
      </c>
      <c r="M246" s="115"/>
      <c r="N246" s="128" t="s">
        <v>1735</v>
      </c>
      <c r="O246" s="1027">
        <f>790+21</f>
        <v>811</v>
      </c>
      <c r="P246" s="115"/>
      <c r="Q246" s="115" t="s">
        <v>1401</v>
      </c>
      <c r="R246" s="682">
        <v>1</v>
      </c>
      <c r="S246" s="361" t="s">
        <v>1533</v>
      </c>
      <c r="T246" s="361">
        <v>1</v>
      </c>
      <c r="U246" s="598">
        <v>197.5</v>
      </c>
      <c r="V246" s="120"/>
      <c r="W246" s="115" t="s">
        <v>1281</v>
      </c>
      <c r="X246" s="115"/>
      <c r="Y246" s="115"/>
      <c r="Z246" s="115"/>
    </row>
    <row r="247" spans="1:26" ht="12" customHeight="1" thickBot="1">
      <c r="A247" s="1629" t="s">
        <v>1002</v>
      </c>
      <c r="B247" s="1654" t="s">
        <v>1003</v>
      </c>
      <c r="C247" s="68">
        <v>41266</v>
      </c>
      <c r="D247" s="1681">
        <v>41273</v>
      </c>
      <c r="E247" s="1654"/>
      <c r="F247" s="67"/>
      <c r="G247" s="803"/>
      <c r="H247" s="67"/>
      <c r="I247" s="67" t="s">
        <v>23</v>
      </c>
      <c r="J247" s="67" t="s">
        <v>19</v>
      </c>
      <c r="K247" s="67"/>
      <c r="L247" s="67"/>
      <c r="M247" s="67"/>
      <c r="N247" s="69" t="s">
        <v>1004</v>
      </c>
      <c r="O247" s="1023">
        <v>272.5</v>
      </c>
      <c r="P247" s="67"/>
      <c r="Q247" s="67"/>
      <c r="R247" s="883">
        <v>0</v>
      </c>
      <c r="S247" s="803"/>
      <c r="T247" s="803"/>
      <c r="U247" s="1722">
        <v>272.5</v>
      </c>
      <c r="V247" s="94">
        <v>41190</v>
      </c>
      <c r="W247" s="67"/>
      <c r="X247" s="67"/>
      <c r="Y247" s="67"/>
      <c r="Z247" s="67"/>
    </row>
    <row r="248" spans="1:26" ht="12" customHeight="1" thickBot="1">
      <c r="A248" s="56" t="s">
        <v>1347</v>
      </c>
      <c r="B248" s="57" t="s">
        <v>1346</v>
      </c>
      <c r="C248" s="58">
        <v>42098</v>
      </c>
      <c r="D248" s="58">
        <v>42112</v>
      </c>
      <c r="E248" s="57" t="s">
        <v>1349</v>
      </c>
      <c r="F248" s="57"/>
      <c r="G248" s="795" t="s">
        <v>1350</v>
      </c>
      <c r="H248" s="57" t="s">
        <v>300</v>
      </c>
      <c r="I248" s="57" t="s">
        <v>54</v>
      </c>
      <c r="J248" s="57" t="s">
        <v>19</v>
      </c>
      <c r="K248" s="57" t="s">
        <v>1351</v>
      </c>
      <c r="L248" s="57" t="s">
        <v>1352</v>
      </c>
      <c r="M248" s="57"/>
      <c r="N248" s="130" t="s">
        <v>1344</v>
      </c>
      <c r="O248" s="1021">
        <f>790+790</f>
        <v>1580</v>
      </c>
      <c r="P248" s="57"/>
      <c r="Q248" s="57" t="s">
        <v>1348</v>
      </c>
      <c r="R248" s="881">
        <v>2</v>
      </c>
      <c r="S248" s="795" t="s">
        <v>1353</v>
      </c>
      <c r="T248" s="795">
        <v>0</v>
      </c>
      <c r="U248" s="113">
        <v>395</v>
      </c>
      <c r="V248" s="78">
        <v>41968</v>
      </c>
      <c r="W248" s="78" t="s">
        <v>1345</v>
      </c>
      <c r="X248" s="21" t="s">
        <v>1154</v>
      </c>
      <c r="Y248" s="21"/>
      <c r="Z248" s="21"/>
    </row>
    <row r="249" spans="1:26" ht="12" customHeight="1">
      <c r="A249" s="21" t="s">
        <v>1347</v>
      </c>
      <c r="B249" s="21" t="s">
        <v>1346</v>
      </c>
      <c r="C249" s="30">
        <v>42307</v>
      </c>
      <c r="D249" s="30">
        <v>42315</v>
      </c>
      <c r="E249" s="21" t="s">
        <v>1349</v>
      </c>
      <c r="F249" s="21"/>
      <c r="G249" s="764" t="s">
        <v>1350</v>
      </c>
      <c r="H249" s="21" t="s">
        <v>300</v>
      </c>
      <c r="I249" s="21" t="s">
        <v>54</v>
      </c>
      <c r="J249" s="21" t="s">
        <v>19</v>
      </c>
      <c r="K249" s="21" t="s">
        <v>1351</v>
      </c>
      <c r="L249" s="21" t="s">
        <v>1352</v>
      </c>
      <c r="M249" s="21"/>
      <c r="N249" s="51" t="s">
        <v>1344</v>
      </c>
      <c r="O249" s="1013">
        <v>790</v>
      </c>
      <c r="P249" s="21"/>
      <c r="Q249" s="21" t="s">
        <v>1348</v>
      </c>
      <c r="R249" s="876">
        <v>1</v>
      </c>
      <c r="S249" s="764" t="s">
        <v>1451</v>
      </c>
      <c r="T249" s="764">
        <v>0</v>
      </c>
      <c r="U249" s="1367">
        <v>400</v>
      </c>
      <c r="V249" s="78">
        <v>41968</v>
      </c>
      <c r="W249" s="78" t="s">
        <v>1345</v>
      </c>
      <c r="X249" s="21" t="s">
        <v>1154</v>
      </c>
      <c r="Y249" s="21"/>
      <c r="Z249" s="21"/>
    </row>
    <row r="250" spans="1:26" ht="12" customHeight="1">
      <c r="A250" s="21" t="s">
        <v>621</v>
      </c>
      <c r="B250" s="21" t="s">
        <v>622</v>
      </c>
      <c r="C250" s="30">
        <v>40376</v>
      </c>
      <c r="D250" s="30">
        <v>40390</v>
      </c>
      <c r="E250" s="21" t="s">
        <v>630</v>
      </c>
      <c r="F250" s="21"/>
      <c r="G250" s="764">
        <v>6005</v>
      </c>
      <c r="H250" s="21" t="s">
        <v>631</v>
      </c>
      <c r="I250" s="21" t="s">
        <v>168</v>
      </c>
      <c r="J250" s="21" t="s">
        <v>19</v>
      </c>
      <c r="K250" s="21" t="s">
        <v>624</v>
      </c>
      <c r="L250" s="21"/>
      <c r="M250" s="21"/>
      <c r="N250" s="51" t="s">
        <v>623</v>
      </c>
      <c r="O250" s="1020">
        <f>3000+70</f>
        <v>3070</v>
      </c>
      <c r="P250" s="21"/>
      <c r="Q250" s="21" t="s">
        <v>629</v>
      </c>
      <c r="R250" s="876">
        <v>2</v>
      </c>
      <c r="S250" s="764">
        <v>4</v>
      </c>
      <c r="T250" s="764">
        <v>0</v>
      </c>
      <c r="U250" s="1380">
        <v>750</v>
      </c>
      <c r="V250" s="78"/>
      <c r="W250" s="21"/>
      <c r="X250" s="21"/>
      <c r="Y250" s="21"/>
      <c r="Z250" s="21"/>
    </row>
    <row r="251" spans="1:26" ht="12" customHeight="1">
      <c r="A251" s="21" t="s">
        <v>587</v>
      </c>
      <c r="B251" s="21" t="s">
        <v>588</v>
      </c>
      <c r="C251" s="30">
        <v>40173</v>
      </c>
      <c r="D251" s="30">
        <v>40180</v>
      </c>
      <c r="E251" s="21" t="s">
        <v>586</v>
      </c>
      <c r="F251" s="21"/>
      <c r="G251" s="764">
        <v>92400</v>
      </c>
      <c r="H251" s="21" t="s">
        <v>589</v>
      </c>
      <c r="I251" s="21" t="s">
        <v>23</v>
      </c>
      <c r="J251" s="21" t="s">
        <v>19</v>
      </c>
      <c r="K251" s="21" t="s">
        <v>590</v>
      </c>
      <c r="L251" s="21" t="s">
        <v>591</v>
      </c>
      <c r="M251" s="21"/>
      <c r="N251" s="50" t="s">
        <v>593</v>
      </c>
      <c r="O251" s="1013">
        <v>1050</v>
      </c>
      <c r="P251" s="21"/>
      <c r="Q251" s="21" t="s">
        <v>592</v>
      </c>
      <c r="R251" s="876">
        <v>1</v>
      </c>
      <c r="S251" s="764">
        <v>4</v>
      </c>
      <c r="T251" s="764"/>
      <c r="U251" s="43">
        <v>300</v>
      </c>
      <c r="V251" s="78"/>
      <c r="W251" s="21"/>
      <c r="X251" s="21"/>
      <c r="Y251" s="21"/>
      <c r="Z251" s="21"/>
    </row>
    <row r="252" spans="1:26" s="21" customFormat="1" ht="12" customHeight="1">
      <c r="A252" s="21" t="s">
        <v>389</v>
      </c>
      <c r="B252" s="21" t="s">
        <v>394</v>
      </c>
      <c r="C252" s="30">
        <v>39669</v>
      </c>
      <c r="D252" s="30">
        <v>39683</v>
      </c>
      <c r="E252" s="21" t="s">
        <v>390</v>
      </c>
      <c r="G252" s="764">
        <v>59370</v>
      </c>
      <c r="H252" s="21" t="s">
        <v>391</v>
      </c>
      <c r="I252" s="21" t="s">
        <v>23</v>
      </c>
      <c r="J252" s="21" t="s">
        <v>19</v>
      </c>
      <c r="K252" s="21" t="s">
        <v>392</v>
      </c>
      <c r="N252" s="51"/>
      <c r="O252" s="1013">
        <v>3000</v>
      </c>
      <c r="R252" s="876">
        <v>2</v>
      </c>
      <c r="S252" s="764">
        <v>4</v>
      </c>
      <c r="T252" s="764">
        <v>1</v>
      </c>
      <c r="U252" s="23">
        <v>750</v>
      </c>
      <c r="V252" s="78"/>
    </row>
    <row r="253" spans="1:26" s="21" customFormat="1" ht="12" customHeight="1">
      <c r="A253" s="21" t="s">
        <v>1391</v>
      </c>
      <c r="B253" s="21" t="s">
        <v>1392</v>
      </c>
      <c r="C253" s="30">
        <v>42063</v>
      </c>
      <c r="D253" s="30">
        <v>42070</v>
      </c>
      <c r="G253" s="764"/>
      <c r="I253" s="21" t="s">
        <v>23</v>
      </c>
      <c r="J253" s="21" t="s">
        <v>19</v>
      </c>
      <c r="K253" s="21" t="s">
        <v>1393</v>
      </c>
      <c r="N253" s="50" t="s">
        <v>1394</v>
      </c>
      <c r="O253" s="1013">
        <v>600</v>
      </c>
      <c r="Q253" s="21">
        <v>0</v>
      </c>
      <c r="R253" s="876">
        <v>1</v>
      </c>
      <c r="S253" s="764">
        <v>4</v>
      </c>
      <c r="T253" s="764">
        <v>0</v>
      </c>
      <c r="U253" s="75">
        <v>150</v>
      </c>
      <c r="V253" s="78">
        <v>42024</v>
      </c>
      <c r="W253" s="21" t="s">
        <v>1281</v>
      </c>
      <c r="X253" s="21" t="s">
        <v>1217</v>
      </c>
    </row>
    <row r="254" spans="1:26" s="21" customFormat="1" ht="12" customHeight="1">
      <c r="A254" s="355" t="s">
        <v>1391</v>
      </c>
      <c r="B254" s="355" t="s">
        <v>1392</v>
      </c>
      <c r="C254" s="357">
        <v>43157</v>
      </c>
      <c r="D254" s="357">
        <v>43161</v>
      </c>
      <c r="E254" s="355"/>
      <c r="F254" s="355"/>
      <c r="G254" s="358"/>
      <c r="H254" s="355"/>
      <c r="I254" s="355" t="s">
        <v>23</v>
      </c>
      <c r="J254" s="355" t="s">
        <v>19</v>
      </c>
      <c r="K254" s="355" t="s">
        <v>1393</v>
      </c>
      <c r="L254" s="355"/>
      <c r="M254" s="355"/>
      <c r="N254" s="365" t="s">
        <v>1394</v>
      </c>
      <c r="O254" s="1036">
        <v>600</v>
      </c>
      <c r="P254" s="355"/>
      <c r="Q254" s="355" t="s">
        <v>1910</v>
      </c>
      <c r="R254" s="891">
        <v>1</v>
      </c>
      <c r="S254" s="358">
        <v>3</v>
      </c>
      <c r="T254" s="358">
        <v>0</v>
      </c>
      <c r="U254" s="356">
        <v>0</v>
      </c>
      <c r="V254" s="360">
        <v>42024</v>
      </c>
      <c r="W254" s="355" t="s">
        <v>1281</v>
      </c>
      <c r="X254" s="355" t="s">
        <v>1217</v>
      </c>
      <c r="Y254" s="355"/>
      <c r="Z254" s="355"/>
    </row>
    <row r="255" spans="1:26" s="21" customFormat="1" ht="12" customHeight="1">
      <c r="A255" s="61" t="s">
        <v>685</v>
      </c>
      <c r="B255" s="61" t="s">
        <v>32</v>
      </c>
      <c r="C255" s="62">
        <v>40663</v>
      </c>
      <c r="D255" s="62">
        <v>40670</v>
      </c>
      <c r="E255" s="61" t="s">
        <v>686</v>
      </c>
      <c r="F255" s="61"/>
      <c r="G255" s="802">
        <v>63450</v>
      </c>
      <c r="H255" s="61" t="s">
        <v>687</v>
      </c>
      <c r="I255" s="61" t="s">
        <v>23</v>
      </c>
      <c r="J255" s="61" t="s">
        <v>19</v>
      </c>
      <c r="K255" s="61" t="s">
        <v>688</v>
      </c>
      <c r="L255" s="61" t="s">
        <v>689</v>
      </c>
      <c r="M255" s="61"/>
      <c r="N255" s="63" t="s">
        <v>690</v>
      </c>
      <c r="O255" s="1022">
        <f>790+70</f>
        <v>860</v>
      </c>
      <c r="P255" s="61"/>
      <c r="Q255" s="61" t="s">
        <v>691</v>
      </c>
      <c r="R255" s="882">
        <v>1</v>
      </c>
      <c r="S255" s="802">
        <v>3</v>
      </c>
      <c r="T255" s="802">
        <v>0</v>
      </c>
      <c r="U255" s="65">
        <v>198</v>
      </c>
      <c r="V255" s="1601"/>
      <c r="W255" s="61"/>
      <c r="X255" s="61"/>
      <c r="Y255" s="61"/>
      <c r="Z255" s="61"/>
    </row>
    <row r="256" spans="1:26" s="21" customFormat="1" ht="12" customHeight="1">
      <c r="A256" s="115" t="s">
        <v>1687</v>
      </c>
      <c r="B256" s="115" t="s">
        <v>304</v>
      </c>
      <c r="C256" s="116">
        <v>42806</v>
      </c>
      <c r="D256" s="116">
        <v>42819</v>
      </c>
      <c r="E256" s="115" t="s">
        <v>1681</v>
      </c>
      <c r="F256" s="115"/>
      <c r="G256" s="361">
        <v>95230</v>
      </c>
      <c r="H256" s="115" t="s">
        <v>1682</v>
      </c>
      <c r="I256" s="115" t="s">
        <v>23</v>
      </c>
      <c r="J256" s="115" t="s">
        <v>19</v>
      </c>
      <c r="K256" s="115"/>
      <c r="L256" s="115" t="s">
        <v>1683</v>
      </c>
      <c r="M256" s="115"/>
      <c r="N256" s="128" t="s">
        <v>1684</v>
      </c>
      <c r="O256" s="1027">
        <f>690*2+42+70</f>
        <v>1492</v>
      </c>
      <c r="P256" s="115"/>
      <c r="Q256" s="115" t="s">
        <v>1685</v>
      </c>
      <c r="R256" s="682">
        <v>2</v>
      </c>
      <c r="S256" s="361">
        <v>2</v>
      </c>
      <c r="T256" s="361">
        <v>1</v>
      </c>
      <c r="U256" s="119">
        <v>355.5</v>
      </c>
      <c r="V256" s="120">
        <v>42778</v>
      </c>
      <c r="W256" s="115" t="s">
        <v>1686</v>
      </c>
      <c r="X256" s="115"/>
      <c r="Y256" s="115"/>
      <c r="Z256" s="115"/>
    </row>
    <row r="257" spans="1:26" s="21" customFormat="1" ht="12" customHeight="1">
      <c r="A257" s="408" t="s">
        <v>1624</v>
      </c>
      <c r="B257" s="408" t="s">
        <v>1625</v>
      </c>
      <c r="C257" s="409">
        <v>42727</v>
      </c>
      <c r="D257" s="409">
        <v>42734</v>
      </c>
      <c r="E257" s="408" t="s">
        <v>1626</v>
      </c>
      <c r="F257" s="408"/>
      <c r="G257" s="410">
        <v>49220</v>
      </c>
      <c r="H257" s="408" t="s">
        <v>1627</v>
      </c>
      <c r="I257" s="408" t="s">
        <v>23</v>
      </c>
      <c r="J257" s="408" t="s">
        <v>19</v>
      </c>
      <c r="K257" s="408"/>
      <c r="L257" s="408" t="s">
        <v>1628</v>
      </c>
      <c r="M257" s="408"/>
      <c r="N257" s="128" t="s">
        <v>1785</v>
      </c>
      <c r="O257" s="1031">
        <v>272.5</v>
      </c>
      <c r="P257" s="408"/>
      <c r="Q257" s="408" t="s">
        <v>1025</v>
      </c>
      <c r="R257" s="889">
        <v>0</v>
      </c>
      <c r="S257" s="410" t="s">
        <v>199</v>
      </c>
      <c r="T257" s="410">
        <v>1</v>
      </c>
      <c r="U257" s="596">
        <f>1090/4</f>
        <v>272.5</v>
      </c>
      <c r="V257" s="416"/>
      <c r="W257" s="408"/>
      <c r="X257" s="408"/>
      <c r="Y257" s="408"/>
      <c r="Z257" s="408"/>
    </row>
    <row r="258" spans="1:26" s="21" customFormat="1" ht="12" customHeight="1">
      <c r="A258" s="21" t="s">
        <v>780</v>
      </c>
      <c r="B258" s="21" t="s">
        <v>781</v>
      </c>
      <c r="C258" s="30">
        <v>40835</v>
      </c>
      <c r="D258" s="30">
        <v>40848</v>
      </c>
      <c r="E258" s="21" t="s">
        <v>782</v>
      </c>
      <c r="G258" s="764">
        <v>57200</v>
      </c>
      <c r="H258" s="21" t="s">
        <v>783</v>
      </c>
      <c r="I258" s="21" t="s">
        <v>23</v>
      </c>
      <c r="J258" s="21" t="s">
        <v>19</v>
      </c>
      <c r="L258" s="21" t="s">
        <v>809</v>
      </c>
      <c r="N258" s="50" t="s">
        <v>784</v>
      </c>
      <c r="O258" s="1013">
        <f>600+600</f>
        <v>1200</v>
      </c>
      <c r="Q258" s="21" t="s">
        <v>199</v>
      </c>
      <c r="R258" s="876">
        <v>2</v>
      </c>
      <c r="S258" s="764">
        <v>2</v>
      </c>
      <c r="T258" s="764">
        <v>2</v>
      </c>
      <c r="U258" s="23">
        <v>300</v>
      </c>
      <c r="V258" s="78"/>
    </row>
    <row r="259" spans="1:26" s="21" customFormat="1" ht="12" customHeight="1">
      <c r="A259" s="21" t="s">
        <v>377</v>
      </c>
      <c r="B259" s="21" t="s">
        <v>378</v>
      </c>
      <c r="C259" s="30">
        <v>39634</v>
      </c>
      <c r="D259" s="30">
        <v>39648</v>
      </c>
      <c r="E259" s="21" t="s">
        <v>379</v>
      </c>
      <c r="F259" s="21">
        <v>1273</v>
      </c>
      <c r="G259" s="764">
        <v>1273</v>
      </c>
      <c r="H259" s="21" t="s">
        <v>380</v>
      </c>
      <c r="I259" s="21" t="s">
        <v>168</v>
      </c>
      <c r="J259" s="21" t="s">
        <v>19</v>
      </c>
      <c r="L259" s="21" t="s">
        <v>381</v>
      </c>
      <c r="N259" s="50" t="s">
        <v>382</v>
      </c>
      <c r="O259" s="1013">
        <v>2800</v>
      </c>
      <c r="R259" s="876">
        <v>2</v>
      </c>
      <c r="S259" s="764">
        <v>4</v>
      </c>
      <c r="T259" s="764"/>
      <c r="U259" s="23">
        <v>700</v>
      </c>
      <c r="V259" s="78"/>
    </row>
    <row r="260" spans="1:26" s="21" customFormat="1" ht="12" customHeight="1">
      <c r="A260" s="21" t="s">
        <v>942</v>
      </c>
      <c r="B260" s="21" t="s">
        <v>943</v>
      </c>
      <c r="C260" s="30">
        <v>41153</v>
      </c>
      <c r="D260" s="30">
        <v>41160</v>
      </c>
      <c r="E260" s="805"/>
      <c r="G260" s="764"/>
      <c r="I260" s="21" t="s">
        <v>944</v>
      </c>
      <c r="J260" s="21" t="s">
        <v>19</v>
      </c>
      <c r="N260" s="50" t="s">
        <v>990</v>
      </c>
      <c r="O260" s="1013">
        <f>1290+70+5*3*7</f>
        <v>1465</v>
      </c>
      <c r="Q260" s="21" t="s">
        <v>970</v>
      </c>
      <c r="R260" s="876">
        <v>1</v>
      </c>
      <c r="S260" s="764">
        <v>4</v>
      </c>
      <c r="T260" s="764">
        <v>5</v>
      </c>
      <c r="U260" s="75">
        <v>312.5</v>
      </c>
      <c r="V260" s="78"/>
    </row>
    <row r="261" spans="1:26" s="21" customFormat="1" ht="12" customHeight="1">
      <c r="A261" s="115" t="s">
        <v>2265</v>
      </c>
      <c r="B261" s="115" t="s">
        <v>2264</v>
      </c>
      <c r="C261" s="116">
        <v>43694</v>
      </c>
      <c r="D261" s="116">
        <v>43708</v>
      </c>
      <c r="E261" s="115" t="s">
        <v>2266</v>
      </c>
      <c r="F261" s="115"/>
      <c r="G261" s="361" t="s">
        <v>2267</v>
      </c>
      <c r="H261" s="115" t="s">
        <v>2268</v>
      </c>
      <c r="I261" s="115" t="s">
        <v>54</v>
      </c>
      <c r="J261" s="115" t="s">
        <v>19</v>
      </c>
      <c r="K261" s="115"/>
      <c r="L261" s="115" t="s">
        <v>2269</v>
      </c>
      <c r="M261" s="115"/>
      <c r="N261" s="128" t="s">
        <v>2270</v>
      </c>
      <c r="O261" s="1027">
        <v>3680</v>
      </c>
      <c r="P261" s="115"/>
      <c r="Q261" s="115" t="s">
        <v>599</v>
      </c>
      <c r="R261" s="682">
        <v>2</v>
      </c>
      <c r="S261" s="361">
        <v>3</v>
      </c>
      <c r="T261" s="361">
        <v>2</v>
      </c>
      <c r="U261" s="119">
        <v>920</v>
      </c>
      <c r="V261" s="120">
        <v>43559</v>
      </c>
      <c r="W261" s="115" t="s">
        <v>1477</v>
      </c>
      <c r="X261" s="115"/>
      <c r="Y261" s="115"/>
      <c r="Z261" s="115"/>
    </row>
    <row r="262" spans="1:26" s="21" customFormat="1" ht="12" customHeight="1">
      <c r="A262" s="21" t="s">
        <v>383</v>
      </c>
      <c r="B262" s="21" t="s">
        <v>388</v>
      </c>
      <c r="C262" s="30">
        <v>39648</v>
      </c>
      <c r="D262" s="30">
        <v>39669</v>
      </c>
      <c r="E262" s="21" t="s">
        <v>384</v>
      </c>
      <c r="G262" s="764">
        <v>94300</v>
      </c>
      <c r="H262" s="21" t="s">
        <v>385</v>
      </c>
      <c r="I262" s="21" t="s">
        <v>23</v>
      </c>
      <c r="J262" s="21" t="s">
        <v>19</v>
      </c>
      <c r="K262" s="21" t="s">
        <v>386</v>
      </c>
      <c r="L262" s="21" t="s">
        <v>387</v>
      </c>
      <c r="N262" s="51"/>
      <c r="O262" s="1013">
        <v>4250</v>
      </c>
      <c r="R262" s="876">
        <v>3</v>
      </c>
      <c r="S262" s="764">
        <v>5</v>
      </c>
      <c r="T262" s="764"/>
      <c r="U262" s="23">
        <v>1036</v>
      </c>
      <c r="V262" s="78"/>
    </row>
    <row r="263" spans="1:26" s="21" customFormat="1" ht="12" customHeight="1">
      <c r="A263" s="21" t="s">
        <v>1205</v>
      </c>
      <c r="B263" s="21" t="s">
        <v>1204</v>
      </c>
      <c r="C263" s="30">
        <v>41755</v>
      </c>
      <c r="D263" s="30">
        <v>41762</v>
      </c>
      <c r="G263" s="764"/>
      <c r="H263" s="21" t="s">
        <v>1206</v>
      </c>
      <c r="I263" s="21" t="s">
        <v>23</v>
      </c>
      <c r="J263" s="21" t="s">
        <v>19</v>
      </c>
      <c r="L263" s="21" t="s">
        <v>1268</v>
      </c>
      <c r="N263" s="50" t="s">
        <v>1203</v>
      </c>
      <c r="O263" s="1013">
        <v>790</v>
      </c>
      <c r="Q263" s="21" t="s">
        <v>1207</v>
      </c>
      <c r="R263" s="876">
        <v>1</v>
      </c>
      <c r="S263" s="764" t="s">
        <v>1208</v>
      </c>
      <c r="T263" s="764">
        <v>1</v>
      </c>
      <c r="U263" s="75">
        <f>790/4</f>
        <v>197.5</v>
      </c>
      <c r="V263" s="78">
        <v>41615</v>
      </c>
      <c r="X263" s="21" t="s">
        <v>1154</v>
      </c>
    </row>
    <row r="264" spans="1:26" s="67" customFormat="1" ht="12" customHeight="1">
      <c r="A264" s="21" t="s">
        <v>873</v>
      </c>
      <c r="B264" s="21" t="s">
        <v>874</v>
      </c>
      <c r="C264" s="30">
        <v>40978</v>
      </c>
      <c r="D264" s="30">
        <v>40985</v>
      </c>
      <c r="E264" s="21" t="s">
        <v>888</v>
      </c>
      <c r="F264" s="21"/>
      <c r="G264" s="764">
        <v>76190</v>
      </c>
      <c r="H264" s="21" t="s">
        <v>889</v>
      </c>
      <c r="I264" s="21" t="s">
        <v>23</v>
      </c>
      <c r="J264" s="21" t="s">
        <v>19</v>
      </c>
      <c r="K264" s="21" t="s">
        <v>891</v>
      </c>
      <c r="L264" s="21" t="s">
        <v>890</v>
      </c>
      <c r="M264" s="21"/>
      <c r="N264" s="50" t="s">
        <v>871</v>
      </c>
      <c r="O264" s="1013">
        <v>690</v>
      </c>
      <c r="P264" s="21"/>
      <c r="Q264" s="21"/>
      <c r="R264" s="876">
        <v>1</v>
      </c>
      <c r="S264" s="764" t="s">
        <v>353</v>
      </c>
      <c r="T264" s="764">
        <v>0</v>
      </c>
      <c r="U264" s="75">
        <v>172.25</v>
      </c>
      <c r="V264" s="78">
        <f>O264-U264</f>
        <v>517.75</v>
      </c>
      <c r="W264" s="21" t="s">
        <v>872</v>
      </c>
      <c r="X264" s="21"/>
      <c r="Y264" s="21"/>
      <c r="Z264" s="21"/>
    </row>
    <row r="265" spans="1:26" s="21" customFormat="1" ht="12" customHeight="1">
      <c r="A265" s="21" t="s">
        <v>1340</v>
      </c>
      <c r="B265" s="21" t="s">
        <v>1341</v>
      </c>
      <c r="C265" s="30">
        <v>42119</v>
      </c>
      <c r="D265" s="30">
        <v>42126</v>
      </c>
      <c r="E265" s="21" t="s">
        <v>1370</v>
      </c>
      <c r="G265" s="764">
        <v>80560</v>
      </c>
      <c r="H265" s="21" t="s">
        <v>1371</v>
      </c>
      <c r="I265" s="21" t="s">
        <v>23</v>
      </c>
      <c r="J265" s="21" t="s">
        <v>19</v>
      </c>
      <c r="K265" s="21" t="s">
        <v>1373</v>
      </c>
      <c r="L265" s="21" t="s">
        <v>1372</v>
      </c>
      <c r="N265" s="50" t="s">
        <v>1342</v>
      </c>
      <c r="O265" s="1013">
        <v>790</v>
      </c>
      <c r="Q265" s="21" t="s">
        <v>1343</v>
      </c>
      <c r="R265" s="876">
        <v>1</v>
      </c>
      <c r="S265" s="764" t="s">
        <v>1374</v>
      </c>
      <c r="T265" s="764">
        <v>0</v>
      </c>
      <c r="U265" s="75">
        <v>197.5</v>
      </c>
      <c r="V265" s="78">
        <v>42333</v>
      </c>
      <c r="W265" s="21" t="s">
        <v>1281</v>
      </c>
      <c r="X265" s="21" t="s">
        <v>1154</v>
      </c>
    </row>
    <row r="266" spans="1:26" s="21" customFormat="1" ht="12" customHeight="1">
      <c r="A266" s="21" t="s">
        <v>453</v>
      </c>
      <c r="B266" s="21" t="s">
        <v>454</v>
      </c>
      <c r="C266" s="30">
        <v>39809</v>
      </c>
      <c r="D266" s="30">
        <v>39816</v>
      </c>
      <c r="E266" s="21" t="s">
        <v>455</v>
      </c>
      <c r="G266" s="764" t="s">
        <v>457</v>
      </c>
      <c r="H266" s="21" t="s">
        <v>456</v>
      </c>
      <c r="I266" s="21" t="s">
        <v>168</v>
      </c>
      <c r="J266" s="21" t="s">
        <v>19</v>
      </c>
      <c r="K266" s="21" t="s">
        <v>458</v>
      </c>
      <c r="L266" s="21" t="s">
        <v>460</v>
      </c>
      <c r="M266" s="21" t="s">
        <v>459</v>
      </c>
      <c r="N266" s="50"/>
      <c r="O266" s="1013">
        <v>1150</v>
      </c>
      <c r="R266" s="876">
        <v>1</v>
      </c>
      <c r="S266" s="764">
        <v>2</v>
      </c>
      <c r="T266" s="764"/>
      <c r="U266" s="23">
        <v>285</v>
      </c>
      <c r="V266" s="78"/>
    </row>
    <row r="267" spans="1:26" s="21" customFormat="1" ht="12" customHeight="1">
      <c r="A267" s="21" t="s">
        <v>1354</v>
      </c>
      <c r="B267" s="21" t="s">
        <v>188</v>
      </c>
      <c r="C267" s="30">
        <v>42245</v>
      </c>
      <c r="D267" s="30">
        <v>42252</v>
      </c>
      <c r="E267" s="21" t="s">
        <v>1355</v>
      </c>
      <c r="G267" s="764" t="s">
        <v>1356</v>
      </c>
      <c r="H267" s="21" t="s">
        <v>1357</v>
      </c>
      <c r="I267" s="21" t="s">
        <v>54</v>
      </c>
      <c r="J267" s="21" t="s">
        <v>19</v>
      </c>
      <c r="K267" s="21" t="s">
        <v>1358</v>
      </c>
      <c r="L267" s="21" t="s">
        <v>1359</v>
      </c>
      <c r="N267" s="50" t="s">
        <v>1360</v>
      </c>
      <c r="O267" s="1013">
        <v>1390</v>
      </c>
      <c r="Q267" s="21" t="s">
        <v>1361</v>
      </c>
      <c r="R267" s="876">
        <v>1</v>
      </c>
      <c r="S267" s="764" t="s">
        <v>1362</v>
      </c>
      <c r="T267" s="764">
        <v>1</v>
      </c>
      <c r="U267" s="75">
        <v>374.5</v>
      </c>
      <c r="V267" s="78">
        <v>41969</v>
      </c>
      <c r="W267" s="21" t="s">
        <v>1338</v>
      </c>
      <c r="X267" s="21" t="s">
        <v>1154</v>
      </c>
    </row>
    <row r="268" spans="1:26" s="21" customFormat="1" ht="12" customHeight="1">
      <c r="A268" s="21" t="s">
        <v>827</v>
      </c>
      <c r="B268" s="21" t="s">
        <v>99</v>
      </c>
      <c r="C268" s="30">
        <v>41020</v>
      </c>
      <c r="D268" s="30">
        <v>41027</v>
      </c>
      <c r="E268" s="21" t="s">
        <v>831</v>
      </c>
      <c r="G268" s="764">
        <v>6700</v>
      </c>
      <c r="H268" s="21" t="s">
        <v>832</v>
      </c>
      <c r="I268" s="21" t="s">
        <v>23</v>
      </c>
      <c r="J268" s="21" t="s">
        <v>19</v>
      </c>
      <c r="K268" s="21" t="s">
        <v>833</v>
      </c>
      <c r="L268" s="21" t="s">
        <v>834</v>
      </c>
      <c r="N268" s="50" t="s">
        <v>928</v>
      </c>
      <c r="O268" s="1013">
        <v>790</v>
      </c>
      <c r="Q268" s="21" t="s">
        <v>828</v>
      </c>
      <c r="R268" s="876">
        <v>1</v>
      </c>
      <c r="S268" s="764">
        <v>6</v>
      </c>
      <c r="T268" s="764">
        <v>0</v>
      </c>
      <c r="U268" s="75">
        <v>200</v>
      </c>
      <c r="V268" s="78"/>
    </row>
    <row r="269" spans="1:26" s="21" customFormat="1" ht="12" customHeight="1">
      <c r="A269" s="67" t="s">
        <v>793</v>
      </c>
      <c r="B269" s="67" t="s">
        <v>794</v>
      </c>
      <c r="C269" s="68">
        <v>40852</v>
      </c>
      <c r="D269" s="68">
        <v>40859</v>
      </c>
      <c r="E269" s="67" t="s">
        <v>795</v>
      </c>
      <c r="F269" s="67"/>
      <c r="G269" s="803" t="s">
        <v>796</v>
      </c>
      <c r="H269" s="67" t="s">
        <v>797</v>
      </c>
      <c r="I269" s="67" t="s">
        <v>168</v>
      </c>
      <c r="J269" s="67" t="s">
        <v>19</v>
      </c>
      <c r="K269" s="67" t="s">
        <v>798</v>
      </c>
      <c r="L269" s="67" t="s">
        <v>799</v>
      </c>
      <c r="M269" s="67"/>
      <c r="N269" s="69" t="s">
        <v>800</v>
      </c>
      <c r="O269" s="1023">
        <f>690</f>
        <v>690</v>
      </c>
      <c r="P269" s="67"/>
      <c r="Q269" s="67" t="s">
        <v>199</v>
      </c>
      <c r="R269" s="883">
        <v>1</v>
      </c>
      <c r="S269" s="803">
        <v>2</v>
      </c>
      <c r="T269" s="803"/>
      <c r="U269" s="71">
        <v>180</v>
      </c>
      <c r="V269" s="94"/>
      <c r="W269" s="67"/>
      <c r="X269" s="67"/>
      <c r="Y269" s="67"/>
      <c r="Z269" s="67"/>
    </row>
    <row r="270" spans="1:26" s="21" customFormat="1" ht="12" customHeight="1">
      <c r="A270" s="1136" t="s">
        <v>2959</v>
      </c>
      <c r="B270" s="1136" t="s">
        <v>2958</v>
      </c>
      <c r="C270" s="1137">
        <v>44793</v>
      </c>
      <c r="D270" s="1137">
        <v>44807</v>
      </c>
      <c r="E270" s="1136" t="s">
        <v>1064</v>
      </c>
      <c r="F270" s="1136"/>
      <c r="G270" s="1139" t="s">
        <v>1065</v>
      </c>
      <c r="H270" s="1136" t="s">
        <v>54</v>
      </c>
      <c r="I270" s="1136" t="s">
        <v>54</v>
      </c>
      <c r="J270" s="1136" t="s">
        <v>19</v>
      </c>
      <c r="K270" s="1136" t="s">
        <v>1067</v>
      </c>
      <c r="L270" s="1136" t="s">
        <v>1066</v>
      </c>
      <c r="M270" s="1136"/>
      <c r="N270" s="1198" t="s">
        <v>1068</v>
      </c>
      <c r="O270" s="1141">
        <f>1990*2+70</f>
        <v>4050</v>
      </c>
      <c r="P270" s="1136"/>
      <c r="Q270" s="1136" t="s">
        <v>1808</v>
      </c>
      <c r="R270" s="1142">
        <v>2</v>
      </c>
      <c r="S270" s="1139"/>
      <c r="T270" s="1139">
        <v>1</v>
      </c>
      <c r="U270" s="1143">
        <v>995</v>
      </c>
      <c r="V270" s="1199">
        <v>43041</v>
      </c>
      <c r="W270" s="1136" t="s">
        <v>1519</v>
      </c>
      <c r="X270" s="1136" t="s">
        <v>1154</v>
      </c>
      <c r="Y270" s="1136"/>
      <c r="Z270" s="1136"/>
    </row>
    <row r="271" spans="1:26" s="21" customFormat="1" ht="12" customHeight="1">
      <c r="A271" s="820" t="s">
        <v>1485</v>
      </c>
      <c r="B271" s="820"/>
      <c r="C271" s="821">
        <v>42364</v>
      </c>
      <c r="D271" s="821">
        <v>42372</v>
      </c>
      <c r="E271" s="820" t="s">
        <v>1490</v>
      </c>
      <c r="F271" s="820"/>
      <c r="G271" s="822">
        <v>29233</v>
      </c>
      <c r="H271" s="820" t="s">
        <v>1486</v>
      </c>
      <c r="I271" s="820" t="s">
        <v>23</v>
      </c>
      <c r="J271" s="820" t="s">
        <v>19</v>
      </c>
      <c r="K271" s="820" t="s">
        <v>1487</v>
      </c>
      <c r="L271" s="820"/>
      <c r="M271" s="820"/>
      <c r="N271" s="823" t="s">
        <v>1488</v>
      </c>
      <c r="O271" s="1026">
        <v>1000</v>
      </c>
      <c r="P271" s="820"/>
      <c r="Q271" s="820"/>
      <c r="R271" s="885">
        <v>1</v>
      </c>
      <c r="S271" s="822">
        <v>2</v>
      </c>
      <c r="T271" s="822">
        <v>0</v>
      </c>
      <c r="U271" s="824">
        <v>250</v>
      </c>
      <c r="V271" s="825" t="s">
        <v>1489</v>
      </c>
      <c r="W271" s="820"/>
      <c r="X271" s="820" t="s">
        <v>1217</v>
      </c>
      <c r="Y271" s="820"/>
      <c r="Z271" s="820"/>
    </row>
    <row r="272" spans="1:26" s="21" customFormat="1" ht="12" customHeight="1">
      <c r="A272" s="21" t="s">
        <v>541</v>
      </c>
      <c r="C272" s="30">
        <v>40047</v>
      </c>
      <c r="D272" s="30">
        <v>40054</v>
      </c>
      <c r="E272" s="21" t="s">
        <v>542</v>
      </c>
      <c r="G272" s="764">
        <v>4970</v>
      </c>
      <c r="H272" s="21" t="s">
        <v>543</v>
      </c>
      <c r="I272" s="21" t="s">
        <v>54</v>
      </c>
      <c r="J272" s="21" t="s">
        <v>19</v>
      </c>
      <c r="K272" s="21" t="s">
        <v>544</v>
      </c>
      <c r="L272" s="21" t="s">
        <v>545</v>
      </c>
      <c r="N272" s="50" t="s">
        <v>546</v>
      </c>
      <c r="O272" s="1013">
        <f>1190+70</f>
        <v>1260</v>
      </c>
      <c r="Q272" s="21" t="s">
        <v>547</v>
      </c>
      <c r="R272" s="876">
        <v>1</v>
      </c>
      <c r="S272" s="764">
        <v>4</v>
      </c>
      <c r="T272" s="764"/>
      <c r="U272" s="43">
        <v>300</v>
      </c>
      <c r="V272" s="78"/>
    </row>
    <row r="273" spans="1:26" s="820" customFormat="1" ht="12" customHeight="1">
      <c r="A273" s="21" t="s">
        <v>823</v>
      </c>
      <c r="B273" s="21" t="s">
        <v>388</v>
      </c>
      <c r="C273" s="30">
        <v>41027</v>
      </c>
      <c r="D273" s="30">
        <v>41034</v>
      </c>
      <c r="E273" s="21"/>
      <c r="F273" s="21"/>
      <c r="G273" s="764"/>
      <c r="H273" s="21"/>
      <c r="I273" s="21" t="s">
        <v>36</v>
      </c>
      <c r="J273" s="21" t="s">
        <v>19</v>
      </c>
      <c r="K273" s="21"/>
      <c r="L273" s="21" t="s">
        <v>837</v>
      </c>
      <c r="M273" s="21"/>
      <c r="N273" s="50" t="s">
        <v>825</v>
      </c>
      <c r="O273" s="1013">
        <f>790+42+70</f>
        <v>902</v>
      </c>
      <c r="P273" s="21"/>
      <c r="Q273" s="21" t="s">
        <v>824</v>
      </c>
      <c r="R273" s="876">
        <v>1</v>
      </c>
      <c r="S273" s="764">
        <v>4</v>
      </c>
      <c r="T273" s="764">
        <v>2</v>
      </c>
      <c r="U273" s="75">
        <v>200</v>
      </c>
      <c r="V273" s="78"/>
      <c r="W273" s="21" t="s">
        <v>824</v>
      </c>
      <c r="X273" s="21"/>
      <c r="Y273" s="21"/>
      <c r="Z273" s="21"/>
    </row>
    <row r="274" spans="1:26" s="21" customFormat="1" ht="12" customHeight="1">
      <c r="A274" s="355" t="s">
        <v>2863</v>
      </c>
      <c r="B274" s="355" t="s">
        <v>2264</v>
      </c>
      <c r="C274" s="357">
        <v>44239</v>
      </c>
      <c r="D274" s="357">
        <v>44247</v>
      </c>
      <c r="E274" s="355"/>
      <c r="F274" s="355"/>
      <c r="G274" s="358"/>
      <c r="H274" s="355"/>
      <c r="I274" s="355" t="s">
        <v>54</v>
      </c>
      <c r="J274" s="355" t="s">
        <v>19</v>
      </c>
      <c r="K274" s="368"/>
      <c r="L274" s="355" t="s">
        <v>2864</v>
      </c>
      <c r="M274" s="355"/>
      <c r="N274" s="365" t="s">
        <v>2865</v>
      </c>
      <c r="O274" s="1036">
        <f>790+113*2+3*3*10+70+3</f>
        <v>1179</v>
      </c>
      <c r="P274" s="355"/>
      <c r="Q274" s="355" t="s">
        <v>1910</v>
      </c>
      <c r="R274" s="891">
        <v>1</v>
      </c>
      <c r="S274" s="358">
        <v>3</v>
      </c>
      <c r="T274" s="358">
        <v>3</v>
      </c>
      <c r="U274" s="576"/>
      <c r="V274" s="360">
        <v>44211</v>
      </c>
      <c r="W274" s="355"/>
      <c r="X274" s="355" t="s">
        <v>1154</v>
      </c>
      <c r="Y274" s="355"/>
      <c r="Z274" s="355"/>
    </row>
    <row r="275" spans="1:26" s="21" customFormat="1" ht="12" customHeight="1">
      <c r="A275" s="355" t="s">
        <v>2818</v>
      </c>
      <c r="B275" s="355" t="s">
        <v>2819</v>
      </c>
      <c r="C275" s="357">
        <v>44198</v>
      </c>
      <c r="D275" s="357">
        <v>44212</v>
      </c>
      <c r="E275" s="355" t="s">
        <v>2820</v>
      </c>
      <c r="F275" s="355"/>
      <c r="G275" s="358" t="s">
        <v>2821</v>
      </c>
      <c r="H275" s="355" t="s">
        <v>2822</v>
      </c>
      <c r="I275" s="355" t="s">
        <v>23</v>
      </c>
      <c r="J275" s="355" t="s">
        <v>19</v>
      </c>
      <c r="K275" s="368" t="s">
        <v>2823</v>
      </c>
      <c r="L275" s="355" t="s">
        <v>2824</v>
      </c>
      <c r="M275" s="355"/>
      <c r="N275" s="362" t="s">
        <v>2825</v>
      </c>
      <c r="O275" s="1036">
        <v>1600</v>
      </c>
      <c r="P275" s="355"/>
      <c r="Q275" s="355" t="s">
        <v>1401</v>
      </c>
      <c r="R275" s="891">
        <v>2</v>
      </c>
      <c r="S275" s="358">
        <v>4</v>
      </c>
      <c r="T275" s="358">
        <v>2</v>
      </c>
      <c r="U275" s="576"/>
      <c r="V275" s="360" t="s">
        <v>2826</v>
      </c>
      <c r="W275" s="355"/>
      <c r="X275" s="355" t="s">
        <v>1217</v>
      </c>
      <c r="Y275" s="355"/>
      <c r="Z275" s="355"/>
    </row>
    <row r="276" spans="1:26" s="21" customFormat="1" ht="12" customHeight="1">
      <c r="A276" s="21" t="s">
        <v>1038</v>
      </c>
      <c r="B276" s="21" t="s">
        <v>1039</v>
      </c>
      <c r="C276" s="30">
        <v>41264</v>
      </c>
      <c r="D276" s="30">
        <v>41269</v>
      </c>
      <c r="E276" s="21" t="s">
        <v>1037</v>
      </c>
      <c r="G276" s="764">
        <v>92160</v>
      </c>
      <c r="H276" s="21" t="s">
        <v>1040</v>
      </c>
      <c r="I276" s="21" t="s">
        <v>23</v>
      </c>
      <c r="J276" s="21" t="s">
        <v>19</v>
      </c>
      <c r="K276" s="21" t="s">
        <v>1041</v>
      </c>
      <c r="L276" s="21" t="s">
        <v>1041</v>
      </c>
      <c r="N276" s="50" t="s">
        <v>1042</v>
      </c>
      <c r="O276" s="1013">
        <v>760</v>
      </c>
      <c r="Q276" s="21" t="s">
        <v>1043</v>
      </c>
      <c r="R276" s="876">
        <v>1</v>
      </c>
      <c r="S276" s="764">
        <v>2</v>
      </c>
      <c r="T276" s="764"/>
      <c r="U276" s="88">
        <v>0</v>
      </c>
      <c r="V276" s="78"/>
      <c r="W276" s="21" t="s">
        <v>1044</v>
      </c>
    </row>
    <row r="277" spans="1:26" s="21" customFormat="1" ht="12" customHeight="1">
      <c r="A277" s="61" t="s">
        <v>700</v>
      </c>
      <c r="B277" s="61" t="s">
        <v>95</v>
      </c>
      <c r="C277" s="62">
        <v>40593</v>
      </c>
      <c r="D277" s="62">
        <v>40600</v>
      </c>
      <c r="E277" s="61" t="s">
        <v>701</v>
      </c>
      <c r="F277" s="61"/>
      <c r="G277" s="802">
        <v>28410</v>
      </c>
      <c r="H277" s="61" t="s">
        <v>702</v>
      </c>
      <c r="I277" s="61" t="s">
        <v>23</v>
      </c>
      <c r="J277" s="61" t="s">
        <v>19</v>
      </c>
      <c r="K277" s="61" t="s">
        <v>703</v>
      </c>
      <c r="L277" s="61" t="s">
        <v>703</v>
      </c>
      <c r="M277" s="61"/>
      <c r="N277" s="63" t="s">
        <v>704</v>
      </c>
      <c r="O277" s="1022">
        <v>790</v>
      </c>
      <c r="P277" s="61"/>
      <c r="Q277" s="61" t="s">
        <v>705</v>
      </c>
      <c r="R277" s="882">
        <v>1</v>
      </c>
      <c r="S277" s="802">
        <v>4</v>
      </c>
      <c r="T277" s="802">
        <v>0</v>
      </c>
      <c r="U277" s="65">
        <v>400</v>
      </c>
      <c r="V277" s="1601"/>
      <c r="W277" s="61"/>
      <c r="X277" s="61"/>
      <c r="Y277" s="61"/>
      <c r="Z277" s="61"/>
    </row>
    <row r="278" spans="1:26" s="21" customFormat="1" ht="12" customHeight="1">
      <c r="A278" s="61" t="s">
        <v>753</v>
      </c>
      <c r="B278" s="61"/>
      <c r="C278" s="62">
        <v>40679</v>
      </c>
      <c r="D278" s="62">
        <v>40681</v>
      </c>
      <c r="E278" s="61"/>
      <c r="F278" s="61"/>
      <c r="G278" s="802"/>
      <c r="H278" s="61"/>
      <c r="I278" s="61" t="s">
        <v>23</v>
      </c>
      <c r="J278" s="61" t="s">
        <v>19</v>
      </c>
      <c r="K278" s="61"/>
      <c r="L278" s="61"/>
      <c r="M278" s="61"/>
      <c r="N278" s="63" t="s">
        <v>754</v>
      </c>
      <c r="O278" s="1022">
        <v>400</v>
      </c>
      <c r="P278" s="61"/>
      <c r="Q278" s="61"/>
      <c r="R278" s="882">
        <v>1</v>
      </c>
      <c r="S278" s="802">
        <v>4</v>
      </c>
      <c r="T278" s="802">
        <v>0</v>
      </c>
      <c r="U278" s="65">
        <v>400</v>
      </c>
      <c r="V278" s="1601"/>
      <c r="W278" s="61"/>
      <c r="X278" s="61"/>
      <c r="Y278" s="61"/>
      <c r="Z278" s="61"/>
    </row>
    <row r="279" spans="1:26" s="21" customFormat="1" ht="12" customHeight="1">
      <c r="A279" s="67" t="s">
        <v>1027</v>
      </c>
      <c r="B279" s="67" t="s">
        <v>1028</v>
      </c>
      <c r="C279" s="68">
        <v>41391</v>
      </c>
      <c r="D279" s="68">
        <v>41398</v>
      </c>
      <c r="E279" s="67" t="s">
        <v>1029</v>
      </c>
      <c r="F279" s="67"/>
      <c r="G279" s="803" t="s">
        <v>1030</v>
      </c>
      <c r="H279" s="67" t="s">
        <v>1031</v>
      </c>
      <c r="I279" s="67" t="s">
        <v>884</v>
      </c>
      <c r="J279" s="67" t="s">
        <v>19</v>
      </c>
      <c r="K279" s="67" t="s">
        <v>1032</v>
      </c>
      <c r="L279" s="67" t="s">
        <v>1033</v>
      </c>
      <c r="M279" s="67"/>
      <c r="N279" s="69" t="s">
        <v>1034</v>
      </c>
      <c r="O279" s="1023">
        <v>0</v>
      </c>
      <c r="P279" s="67"/>
      <c r="Q279" s="67" t="s">
        <v>1035</v>
      </c>
      <c r="R279" s="883">
        <v>0</v>
      </c>
      <c r="S279" s="803" t="s">
        <v>1036</v>
      </c>
      <c r="T279" s="803">
        <v>0</v>
      </c>
      <c r="U279" s="93">
        <v>197.5</v>
      </c>
      <c r="V279" s="94">
        <v>41240</v>
      </c>
      <c r="W279" s="67"/>
      <c r="X279" s="67"/>
      <c r="Y279" s="67"/>
      <c r="Z279" s="67"/>
    </row>
    <row r="280" spans="1:26" s="21" customFormat="1" ht="12" customHeight="1">
      <c r="A280" s="355" t="s">
        <v>1902</v>
      </c>
      <c r="B280" s="355" t="s">
        <v>1903</v>
      </c>
      <c r="C280" s="357">
        <v>43161</v>
      </c>
      <c r="D280" s="357">
        <v>43175</v>
      </c>
      <c r="E280" s="355" t="s">
        <v>1904</v>
      </c>
      <c r="F280" s="355"/>
      <c r="G280" s="358"/>
      <c r="H280" s="355"/>
      <c r="I280" s="355" t="s">
        <v>54</v>
      </c>
      <c r="J280" s="355" t="s">
        <v>19</v>
      </c>
      <c r="K280" s="355"/>
      <c r="L280" s="355" t="s">
        <v>1905</v>
      </c>
      <c r="M280" s="355"/>
      <c r="N280" s="365" t="s">
        <v>1906</v>
      </c>
      <c r="O280" s="1036">
        <v>1618</v>
      </c>
      <c r="P280" s="355"/>
      <c r="Q280" s="355" t="s">
        <v>1907</v>
      </c>
      <c r="R280" s="891">
        <v>2</v>
      </c>
      <c r="S280" s="358">
        <v>2</v>
      </c>
      <c r="T280" s="358">
        <v>4</v>
      </c>
      <c r="U280" s="356">
        <v>0</v>
      </c>
      <c r="V280" s="360">
        <v>43145</v>
      </c>
      <c r="W280" s="355"/>
      <c r="X280" s="355" t="s">
        <v>1154</v>
      </c>
      <c r="Y280" s="355"/>
      <c r="Z280" s="355"/>
    </row>
    <row r="281" spans="1:26" s="21" customFormat="1" ht="12" customHeight="1">
      <c r="A281" s="757" t="s">
        <v>1913</v>
      </c>
      <c r="B281" s="757" t="s">
        <v>304</v>
      </c>
      <c r="C281" s="758">
        <v>43372</v>
      </c>
      <c r="D281" s="758">
        <v>43379</v>
      </c>
      <c r="E281" s="757" t="s">
        <v>1919</v>
      </c>
      <c r="F281" s="757"/>
      <c r="G281" s="759" t="s">
        <v>1914</v>
      </c>
      <c r="H281" s="896" t="s">
        <v>1918</v>
      </c>
      <c r="I281" s="757" t="s">
        <v>168</v>
      </c>
      <c r="J281" s="757" t="s">
        <v>19</v>
      </c>
      <c r="K281" s="760"/>
      <c r="L281" s="760" t="s">
        <v>1915</v>
      </c>
      <c r="M281" s="757"/>
      <c r="N281" s="897" t="s">
        <v>1916</v>
      </c>
      <c r="O281" s="1037"/>
      <c r="P281" s="757"/>
      <c r="Q281" s="757" t="s">
        <v>1917</v>
      </c>
      <c r="R281" s="898"/>
      <c r="S281" s="759">
        <v>2</v>
      </c>
      <c r="T281" s="759">
        <v>4</v>
      </c>
      <c r="U281" s="899" t="s">
        <v>1832</v>
      </c>
      <c r="V281" s="763">
        <v>43168</v>
      </c>
      <c r="W281" s="757" t="s">
        <v>1052</v>
      </c>
      <c r="X281" s="757" t="s">
        <v>1154</v>
      </c>
      <c r="Y281" s="757" t="s">
        <v>1921</v>
      </c>
      <c r="Z281" s="757"/>
    </row>
    <row r="282" spans="1:26" ht="12" customHeight="1">
      <c r="A282" s="21" t="s">
        <v>566</v>
      </c>
      <c r="B282" s="21" t="s">
        <v>567</v>
      </c>
      <c r="C282" s="30">
        <v>40130</v>
      </c>
      <c r="D282" s="30">
        <v>40137</v>
      </c>
      <c r="E282" s="21" t="s">
        <v>568</v>
      </c>
      <c r="F282" s="21"/>
      <c r="G282" s="764">
        <v>4148</v>
      </c>
      <c r="H282" s="21" t="s">
        <v>569</v>
      </c>
      <c r="I282" s="21" t="s">
        <v>168</v>
      </c>
      <c r="J282" s="21" t="s">
        <v>19</v>
      </c>
      <c r="K282" s="21" t="s">
        <v>570</v>
      </c>
      <c r="L282" s="21" t="s">
        <v>571</v>
      </c>
      <c r="M282" s="21"/>
      <c r="N282" s="50" t="s">
        <v>572</v>
      </c>
      <c r="O282" s="1013">
        <v>760</v>
      </c>
      <c r="P282" s="21"/>
      <c r="Q282" s="21" t="s">
        <v>573</v>
      </c>
      <c r="R282" s="876">
        <v>1</v>
      </c>
      <c r="S282" s="764">
        <v>4</v>
      </c>
      <c r="T282" s="764"/>
      <c r="U282" s="43">
        <v>297.60000000000002</v>
      </c>
      <c r="V282" s="78"/>
      <c r="W282" s="21"/>
      <c r="X282" s="21"/>
      <c r="Y282" s="21"/>
      <c r="Z282" s="21"/>
    </row>
    <row r="283" spans="1:26" ht="12" customHeight="1">
      <c r="A283" s="21" t="s">
        <v>176</v>
      </c>
      <c r="B283" s="21" t="s">
        <v>177</v>
      </c>
      <c r="C283" s="30">
        <v>40827</v>
      </c>
      <c r="D283" s="30">
        <v>40866</v>
      </c>
      <c r="E283" s="21" t="s">
        <v>175</v>
      </c>
      <c r="F283" s="21"/>
      <c r="G283" s="764">
        <v>41000</v>
      </c>
      <c r="H283" s="21" t="s">
        <v>178</v>
      </c>
      <c r="I283" s="21" t="s">
        <v>23</v>
      </c>
      <c r="J283" s="21" t="s">
        <v>19</v>
      </c>
      <c r="K283" s="21" t="s">
        <v>792</v>
      </c>
      <c r="L283" s="21" t="s">
        <v>808</v>
      </c>
      <c r="M283" s="21"/>
      <c r="N283" s="50" t="s">
        <v>174</v>
      </c>
      <c r="O283" s="1013">
        <f>690+70</f>
        <v>760</v>
      </c>
      <c r="P283" s="21"/>
      <c r="Q283" s="21" t="s">
        <v>674</v>
      </c>
      <c r="R283" s="876">
        <v>1</v>
      </c>
      <c r="S283" s="764">
        <v>4</v>
      </c>
      <c r="T283" s="764"/>
      <c r="U283" s="23">
        <v>172.5</v>
      </c>
      <c r="V283" s="78"/>
      <c r="W283" s="21"/>
      <c r="X283" s="21"/>
      <c r="Y283" s="21"/>
      <c r="Z283" s="21"/>
    </row>
    <row r="284" spans="1:26" ht="12" customHeight="1">
      <c r="A284" s="820" t="s">
        <v>3533</v>
      </c>
      <c r="B284" s="820" t="s">
        <v>3534</v>
      </c>
      <c r="C284" s="821">
        <v>45269</v>
      </c>
      <c r="D284" s="821">
        <v>45276</v>
      </c>
      <c r="E284" s="820" t="s">
        <v>3535</v>
      </c>
      <c r="F284" s="820"/>
      <c r="G284" s="822" t="s">
        <v>3536</v>
      </c>
      <c r="H284" s="820"/>
      <c r="I284" s="820" t="s">
        <v>23</v>
      </c>
      <c r="J284" s="820" t="s">
        <v>19</v>
      </c>
      <c r="K284" s="820"/>
      <c r="L284" s="1479" t="s">
        <v>3714</v>
      </c>
      <c r="M284" s="820"/>
      <c r="N284" s="1458" t="s">
        <v>3537</v>
      </c>
      <c r="O284" s="1026">
        <f>1090+21+70</f>
        <v>1181</v>
      </c>
      <c r="P284" s="820"/>
      <c r="Q284" s="820" t="s">
        <v>2674</v>
      </c>
      <c r="R284" s="885">
        <v>1</v>
      </c>
      <c r="S284" s="822">
        <v>2</v>
      </c>
      <c r="T284" s="822">
        <v>1</v>
      </c>
      <c r="U284" s="1731">
        <v>273</v>
      </c>
      <c r="V284" s="825">
        <v>45104</v>
      </c>
      <c r="W284" s="820" t="s">
        <v>1665</v>
      </c>
      <c r="X284" s="820" t="s">
        <v>1154</v>
      </c>
      <c r="Y284" s="820"/>
      <c r="Z284" s="820"/>
    </row>
    <row r="285" spans="1:26" ht="12" customHeight="1">
      <c r="A285" s="61" t="s">
        <v>769</v>
      </c>
      <c r="B285" s="61" t="s">
        <v>768</v>
      </c>
      <c r="C285" s="62">
        <v>40719</v>
      </c>
      <c r="D285" s="62">
        <v>40727</v>
      </c>
      <c r="E285" s="61"/>
      <c r="F285" s="61"/>
      <c r="G285" s="802"/>
      <c r="H285" s="61"/>
      <c r="I285" s="61" t="s">
        <v>103</v>
      </c>
      <c r="J285" s="61" t="s">
        <v>19</v>
      </c>
      <c r="K285" s="61"/>
      <c r="L285" s="61"/>
      <c r="M285" s="61"/>
      <c r="N285" s="63"/>
      <c r="O285" s="1022">
        <v>500</v>
      </c>
      <c r="P285" s="61"/>
      <c r="Q285" s="61" t="s">
        <v>770</v>
      </c>
      <c r="R285" s="882">
        <v>1</v>
      </c>
      <c r="S285" s="802">
        <v>4</v>
      </c>
      <c r="T285" s="802">
        <v>0</v>
      </c>
      <c r="U285" s="72">
        <v>0</v>
      </c>
      <c r="V285" s="1601"/>
      <c r="W285" s="61"/>
      <c r="X285" s="61"/>
      <c r="Y285" s="61"/>
      <c r="Z285" s="61"/>
    </row>
    <row r="286" spans="1:26" ht="12" customHeight="1">
      <c r="A286" s="21" t="s">
        <v>1276</v>
      </c>
      <c r="B286" s="21" t="s">
        <v>1277</v>
      </c>
      <c r="C286" s="30">
        <v>41867</v>
      </c>
      <c r="D286" s="30">
        <v>41874</v>
      </c>
      <c r="E286" s="21" t="s">
        <v>1282</v>
      </c>
      <c r="F286" s="21"/>
      <c r="G286" s="764">
        <v>95550</v>
      </c>
      <c r="H286" s="21" t="s">
        <v>1283</v>
      </c>
      <c r="I286" s="21" t="s">
        <v>23</v>
      </c>
      <c r="J286" s="21" t="s">
        <v>19</v>
      </c>
      <c r="K286" s="21"/>
      <c r="L286" s="21" t="s">
        <v>1284</v>
      </c>
      <c r="M286" s="21"/>
      <c r="N286" s="50" t="s">
        <v>1292</v>
      </c>
      <c r="O286" s="1013">
        <v>1350</v>
      </c>
      <c r="P286" s="21"/>
      <c r="Q286" s="21" t="s">
        <v>1278</v>
      </c>
      <c r="R286" s="876">
        <v>1</v>
      </c>
      <c r="S286" s="764" t="s">
        <v>1279</v>
      </c>
      <c r="T286" s="764">
        <v>0</v>
      </c>
      <c r="U286" s="75">
        <v>350</v>
      </c>
      <c r="V286" s="78" t="s">
        <v>1280</v>
      </c>
      <c r="W286" s="21" t="s">
        <v>1281</v>
      </c>
      <c r="X286" s="21" t="s">
        <v>1217</v>
      </c>
      <c r="Y286" s="21"/>
      <c r="Z286" s="21"/>
    </row>
    <row r="287" spans="1:26" ht="12" customHeight="1">
      <c r="A287" s="115" t="s">
        <v>2279</v>
      </c>
      <c r="B287" s="115" t="s">
        <v>438</v>
      </c>
      <c r="C287" s="116">
        <v>43575</v>
      </c>
      <c r="D287" s="116">
        <v>43582</v>
      </c>
      <c r="E287" s="115" t="s">
        <v>2280</v>
      </c>
      <c r="F287" s="115"/>
      <c r="G287" s="361" t="s">
        <v>2281</v>
      </c>
      <c r="H287" s="364" t="s">
        <v>2282</v>
      </c>
      <c r="I287" s="115" t="s">
        <v>168</v>
      </c>
      <c r="J287" s="115" t="s">
        <v>19</v>
      </c>
      <c r="K287" s="115"/>
      <c r="L287" s="124" t="s">
        <v>2283</v>
      </c>
      <c r="M287" s="115"/>
      <c r="N287" s="128" t="s">
        <v>2284</v>
      </c>
      <c r="O287" s="1027">
        <v>790</v>
      </c>
      <c r="P287" s="115"/>
      <c r="Q287" s="115" t="s">
        <v>2285</v>
      </c>
      <c r="R287" s="682">
        <v>1</v>
      </c>
      <c r="S287" s="361">
        <v>4</v>
      </c>
      <c r="T287" s="361">
        <v>1</v>
      </c>
      <c r="U287" s="119">
        <v>390</v>
      </c>
      <c r="V287" s="120"/>
      <c r="W287" s="115"/>
      <c r="X287" s="115"/>
      <c r="Y287" s="115"/>
      <c r="Z287" s="115"/>
    </row>
    <row r="288" spans="1:26" ht="12" customHeight="1">
      <c r="A288" s="20" t="s">
        <v>1124</v>
      </c>
      <c r="B288" s="21"/>
      <c r="C288" s="30">
        <v>41433</v>
      </c>
      <c r="D288" s="30">
        <v>41440</v>
      </c>
      <c r="E288" s="21" t="s">
        <v>1125</v>
      </c>
      <c r="F288" s="21"/>
      <c r="G288" s="764" t="s">
        <v>1126</v>
      </c>
      <c r="H288" s="21" t="s">
        <v>1127</v>
      </c>
      <c r="I288" s="21" t="s">
        <v>36</v>
      </c>
      <c r="J288" s="21" t="s">
        <v>19</v>
      </c>
      <c r="K288" s="21" t="s">
        <v>1128</v>
      </c>
      <c r="L288" s="21"/>
      <c r="M288" s="21"/>
      <c r="N288" s="50" t="s">
        <v>1680</v>
      </c>
      <c r="O288" s="1013">
        <v>1090</v>
      </c>
      <c r="P288" s="21"/>
      <c r="Q288" s="21" t="s">
        <v>1130</v>
      </c>
      <c r="R288" s="876">
        <v>1</v>
      </c>
      <c r="S288" s="764" t="s">
        <v>1130</v>
      </c>
      <c r="T288" s="764">
        <v>0</v>
      </c>
      <c r="U288" s="75">
        <v>290</v>
      </c>
      <c r="V288" s="78">
        <v>41386</v>
      </c>
      <c r="W288" s="21"/>
      <c r="X288" s="21"/>
      <c r="Y288" s="21"/>
      <c r="Z288" s="21"/>
    </row>
    <row r="289" spans="1:26" ht="12" customHeight="1">
      <c r="A289" s="21" t="s">
        <v>486</v>
      </c>
      <c r="B289" s="21" t="s">
        <v>487</v>
      </c>
      <c r="C289" s="30">
        <v>39900</v>
      </c>
      <c r="D289" s="30">
        <v>39907</v>
      </c>
      <c r="E289" s="21" t="s">
        <v>488</v>
      </c>
      <c r="F289" s="21"/>
      <c r="G289" s="764">
        <v>95130</v>
      </c>
      <c r="H289" s="21" t="s">
        <v>489</v>
      </c>
      <c r="I289" s="21" t="s">
        <v>23</v>
      </c>
      <c r="J289" s="21" t="s">
        <v>19</v>
      </c>
      <c r="K289" s="21" t="s">
        <v>490</v>
      </c>
      <c r="L289" s="21" t="s">
        <v>491</v>
      </c>
      <c r="M289" s="21"/>
      <c r="N289" s="992" t="s">
        <v>492</v>
      </c>
      <c r="O289" s="1348">
        <v>800</v>
      </c>
      <c r="P289" s="21"/>
      <c r="Q289" s="21"/>
      <c r="R289" s="876">
        <v>1</v>
      </c>
      <c r="S289" s="764">
        <v>4</v>
      </c>
      <c r="T289" s="764">
        <v>0</v>
      </c>
      <c r="U289" s="43">
        <v>200</v>
      </c>
      <c r="V289" s="78"/>
      <c r="W289" s="21"/>
      <c r="X289" s="21"/>
      <c r="Y289" s="21"/>
      <c r="Z289" s="21"/>
    </row>
    <row r="290" spans="1:26" ht="12" customHeight="1">
      <c r="A290" s="21" t="s">
        <v>486</v>
      </c>
      <c r="B290" s="21" t="s">
        <v>487</v>
      </c>
      <c r="C290" s="30">
        <v>40985</v>
      </c>
      <c r="D290" s="30">
        <v>40992</v>
      </c>
      <c r="E290" s="21" t="s">
        <v>488</v>
      </c>
      <c r="F290" s="21"/>
      <c r="G290" s="764">
        <v>95130</v>
      </c>
      <c r="H290" s="21" t="s">
        <v>489</v>
      </c>
      <c r="I290" s="21" t="s">
        <v>23</v>
      </c>
      <c r="J290" s="21" t="s">
        <v>19</v>
      </c>
      <c r="K290" s="21" t="s">
        <v>490</v>
      </c>
      <c r="L290" s="21" t="s">
        <v>491</v>
      </c>
      <c r="M290" s="21"/>
      <c r="N290" s="50" t="s">
        <v>492</v>
      </c>
      <c r="O290" s="1013">
        <v>690</v>
      </c>
      <c r="P290" s="21"/>
      <c r="Q290" s="21"/>
      <c r="R290" s="876">
        <v>1</v>
      </c>
      <c r="S290" s="764">
        <v>4</v>
      </c>
      <c r="T290" s="764">
        <v>0</v>
      </c>
      <c r="U290" s="75">
        <f>O290/4</f>
        <v>172.5</v>
      </c>
      <c r="V290" s="78"/>
      <c r="W290" s="21"/>
      <c r="X290" s="21"/>
      <c r="Y290" s="21"/>
      <c r="Z290" s="21"/>
    </row>
    <row r="291" spans="1:26" ht="12" customHeight="1">
      <c r="A291" s="115" t="s">
        <v>486</v>
      </c>
      <c r="B291" s="115" t="s">
        <v>1620</v>
      </c>
      <c r="C291" s="116">
        <v>42658</v>
      </c>
      <c r="D291" s="116">
        <v>42665</v>
      </c>
      <c r="E291" s="115" t="s">
        <v>488</v>
      </c>
      <c r="F291" s="115"/>
      <c r="G291" s="361">
        <v>95130</v>
      </c>
      <c r="H291" s="115" t="s">
        <v>489</v>
      </c>
      <c r="I291" s="115" t="s">
        <v>23</v>
      </c>
      <c r="J291" s="115" t="s">
        <v>19</v>
      </c>
      <c r="K291" s="115" t="s">
        <v>490</v>
      </c>
      <c r="L291" s="115" t="s">
        <v>491</v>
      </c>
      <c r="M291" s="115"/>
      <c r="N291" s="128"/>
      <c r="O291" s="1027">
        <v>690</v>
      </c>
      <c r="P291" s="115"/>
      <c r="Q291" s="115"/>
      <c r="R291" s="682">
        <v>1</v>
      </c>
      <c r="S291" s="361">
        <v>4</v>
      </c>
      <c r="T291" s="361">
        <v>0</v>
      </c>
      <c r="U291" s="119">
        <f>O291/4</f>
        <v>172.5</v>
      </c>
      <c r="V291" s="120"/>
      <c r="W291" s="115"/>
      <c r="X291" s="115"/>
      <c r="Y291" s="115"/>
      <c r="Z291" s="115"/>
    </row>
    <row r="292" spans="1:26" ht="12" customHeight="1">
      <c r="A292" s="355" t="s">
        <v>486</v>
      </c>
      <c r="B292" s="355" t="s">
        <v>1620</v>
      </c>
      <c r="C292" s="357">
        <v>43204</v>
      </c>
      <c r="D292" s="357">
        <v>43211</v>
      </c>
      <c r="E292" s="355" t="s">
        <v>488</v>
      </c>
      <c r="F292" s="355"/>
      <c r="G292" s="358">
        <v>95130</v>
      </c>
      <c r="H292" s="355" t="s">
        <v>489</v>
      </c>
      <c r="I292" s="355" t="s">
        <v>23</v>
      </c>
      <c r="J292" s="355" t="s">
        <v>19</v>
      </c>
      <c r="K292" s="355" t="s">
        <v>490</v>
      </c>
      <c r="L292" s="355" t="s">
        <v>491</v>
      </c>
      <c r="M292" s="355"/>
      <c r="N292" s="365" t="s">
        <v>492</v>
      </c>
      <c r="O292" s="1036">
        <v>790</v>
      </c>
      <c r="P292" s="355"/>
      <c r="Q292" s="355"/>
      <c r="R292" s="891">
        <v>1</v>
      </c>
      <c r="S292" s="358" t="s">
        <v>1809</v>
      </c>
      <c r="T292" s="358">
        <v>0</v>
      </c>
      <c r="U292" s="356" t="s">
        <v>1832</v>
      </c>
      <c r="V292" s="360">
        <v>43033</v>
      </c>
      <c r="W292" s="355" t="s">
        <v>1519</v>
      </c>
      <c r="X292" s="355" t="s">
        <v>1154</v>
      </c>
      <c r="Y292" s="355"/>
      <c r="Z292" s="355"/>
    </row>
    <row r="293" spans="1:26" ht="12" customHeight="1">
      <c r="A293" s="355" t="s">
        <v>486</v>
      </c>
      <c r="B293" s="355" t="s">
        <v>1620</v>
      </c>
      <c r="C293" s="357">
        <v>43407</v>
      </c>
      <c r="D293" s="357">
        <v>43414</v>
      </c>
      <c r="E293" s="355" t="s">
        <v>488</v>
      </c>
      <c r="F293" s="355"/>
      <c r="G293" s="358">
        <v>95130</v>
      </c>
      <c r="H293" s="355" t="s">
        <v>489</v>
      </c>
      <c r="I293" s="355" t="s">
        <v>23</v>
      </c>
      <c r="J293" s="355" t="s">
        <v>19</v>
      </c>
      <c r="K293" s="355" t="s">
        <v>490</v>
      </c>
      <c r="L293" s="355" t="s">
        <v>491</v>
      </c>
      <c r="M293" s="355"/>
      <c r="N293" s="365" t="s">
        <v>492</v>
      </c>
      <c r="O293" s="1036">
        <v>690</v>
      </c>
      <c r="P293" s="355"/>
      <c r="Q293" s="355"/>
      <c r="R293" s="891">
        <v>1</v>
      </c>
      <c r="S293" s="358" t="s">
        <v>1809</v>
      </c>
      <c r="T293" s="358">
        <v>0</v>
      </c>
      <c r="U293" s="356" t="s">
        <v>1832</v>
      </c>
      <c r="V293" s="360">
        <v>43033</v>
      </c>
      <c r="W293" s="355" t="s">
        <v>1519</v>
      </c>
      <c r="X293" s="355" t="s">
        <v>1154</v>
      </c>
      <c r="Y293" s="355"/>
      <c r="Z293" s="355"/>
    </row>
    <row r="294" spans="1:26" ht="12" customHeight="1">
      <c r="A294" s="355" t="s">
        <v>486</v>
      </c>
      <c r="B294" s="355" t="s">
        <v>1620</v>
      </c>
      <c r="C294" s="357">
        <v>43764</v>
      </c>
      <c r="D294" s="357">
        <v>43771</v>
      </c>
      <c r="E294" s="355" t="s">
        <v>488</v>
      </c>
      <c r="F294" s="355"/>
      <c r="G294" s="358">
        <v>95130</v>
      </c>
      <c r="H294" s="355" t="s">
        <v>489</v>
      </c>
      <c r="I294" s="355" t="s">
        <v>23</v>
      </c>
      <c r="J294" s="355" t="s">
        <v>19</v>
      </c>
      <c r="K294" s="355" t="s">
        <v>490</v>
      </c>
      <c r="L294" s="355" t="s">
        <v>491</v>
      </c>
      <c r="M294" s="355"/>
      <c r="N294" s="365" t="s">
        <v>492</v>
      </c>
      <c r="O294" s="1036">
        <v>690</v>
      </c>
      <c r="P294" s="355"/>
      <c r="Q294" s="355" t="s">
        <v>2345</v>
      </c>
      <c r="R294" s="891">
        <v>1</v>
      </c>
      <c r="S294" s="358" t="s">
        <v>1809</v>
      </c>
      <c r="T294" s="358">
        <v>0</v>
      </c>
      <c r="U294" s="356" t="s">
        <v>1832</v>
      </c>
      <c r="V294" s="360">
        <v>43033</v>
      </c>
      <c r="W294" s="355" t="s">
        <v>1519</v>
      </c>
      <c r="X294" s="355" t="s">
        <v>1154</v>
      </c>
      <c r="Y294" s="355"/>
      <c r="Z294" s="355"/>
    </row>
    <row r="295" spans="1:26" ht="12" customHeight="1">
      <c r="A295" s="20" t="s">
        <v>203</v>
      </c>
      <c r="B295" s="21" t="s">
        <v>202</v>
      </c>
      <c r="C295" s="30">
        <v>39627</v>
      </c>
      <c r="D295" s="30">
        <v>39634</v>
      </c>
      <c r="E295" s="21" t="s">
        <v>420</v>
      </c>
      <c r="F295" s="21"/>
      <c r="G295" s="764">
        <v>76440</v>
      </c>
      <c r="H295" s="21" t="s">
        <v>421</v>
      </c>
      <c r="I295" s="21" t="s">
        <v>23</v>
      </c>
      <c r="J295" s="21" t="s">
        <v>19</v>
      </c>
      <c r="K295" s="21" t="s">
        <v>403</v>
      </c>
      <c r="L295" s="21" t="s">
        <v>404</v>
      </c>
      <c r="M295" s="21"/>
      <c r="N295" s="51" t="s">
        <v>402</v>
      </c>
      <c r="O295" s="1013">
        <v>1300</v>
      </c>
      <c r="P295" s="21"/>
      <c r="Q295" s="21" t="s">
        <v>422</v>
      </c>
      <c r="R295" s="876">
        <v>1</v>
      </c>
      <c r="S295" s="764">
        <v>8</v>
      </c>
      <c r="T295" s="764">
        <v>1</v>
      </c>
      <c r="U295" s="23">
        <f>O295/4</f>
        <v>325</v>
      </c>
      <c r="V295" s="78"/>
      <c r="W295" s="21"/>
      <c r="X295" s="21"/>
      <c r="Y295" s="21"/>
      <c r="Z295" s="21"/>
    </row>
    <row r="296" spans="1:26" ht="12" customHeight="1">
      <c r="A296" s="115" t="s">
        <v>1722</v>
      </c>
      <c r="B296" s="115" t="s">
        <v>1723</v>
      </c>
      <c r="C296" s="116">
        <v>42966</v>
      </c>
      <c r="D296" s="116">
        <v>42973</v>
      </c>
      <c r="E296" s="115" t="s">
        <v>1724</v>
      </c>
      <c r="F296" s="115"/>
      <c r="G296" s="361">
        <v>27220</v>
      </c>
      <c r="H296" s="115" t="s">
        <v>1725</v>
      </c>
      <c r="I296" s="115" t="s">
        <v>23</v>
      </c>
      <c r="J296" s="115" t="s">
        <v>19</v>
      </c>
      <c r="K296" s="115"/>
      <c r="L296" s="115" t="s">
        <v>1726</v>
      </c>
      <c r="M296" s="115"/>
      <c r="N296" s="128" t="s">
        <v>1727</v>
      </c>
      <c r="O296" s="1027">
        <v>1790</v>
      </c>
      <c r="P296" s="115"/>
      <c r="Q296" s="115" t="s">
        <v>1728</v>
      </c>
      <c r="R296" s="682">
        <v>1</v>
      </c>
      <c r="S296" s="361">
        <v>4</v>
      </c>
      <c r="T296" s="361">
        <v>1</v>
      </c>
      <c r="U296" s="119">
        <v>447.5</v>
      </c>
      <c r="V296" s="120"/>
      <c r="W296" s="115"/>
      <c r="X296" s="115"/>
      <c r="Y296" s="115"/>
      <c r="Z296" s="115"/>
    </row>
    <row r="297" spans="1:26" ht="12" customHeight="1">
      <c r="A297" s="115" t="s">
        <v>2565</v>
      </c>
      <c r="B297" s="115" t="s">
        <v>2566</v>
      </c>
      <c r="C297" s="116">
        <v>44058</v>
      </c>
      <c r="D297" s="116">
        <v>44065</v>
      </c>
      <c r="E297" s="115" t="s">
        <v>2567</v>
      </c>
      <c r="F297" s="115"/>
      <c r="G297" s="361">
        <v>77176</v>
      </c>
      <c r="H297" s="364" t="s">
        <v>2313</v>
      </c>
      <c r="I297" s="115" t="s">
        <v>23</v>
      </c>
      <c r="J297" s="115" t="s">
        <v>2568</v>
      </c>
      <c r="K297" s="115" t="s">
        <v>2569</v>
      </c>
      <c r="L297" s="124" t="s">
        <v>2570</v>
      </c>
      <c r="M297" s="115"/>
      <c r="N297" s="128" t="s">
        <v>2571</v>
      </c>
      <c r="O297" s="1027">
        <v>1990</v>
      </c>
      <c r="P297" s="115"/>
      <c r="Q297" s="115" t="s">
        <v>2578</v>
      </c>
      <c r="R297" s="682">
        <v>1</v>
      </c>
      <c r="S297" s="361">
        <v>6</v>
      </c>
      <c r="T297" s="361">
        <v>1</v>
      </c>
      <c r="U297" s="119">
        <v>497.5</v>
      </c>
      <c r="V297" s="120">
        <v>43983</v>
      </c>
      <c r="W297" s="115" t="s">
        <v>1665</v>
      </c>
      <c r="X297" s="115" t="s">
        <v>1154</v>
      </c>
      <c r="Y297" s="115"/>
      <c r="Z297" s="115"/>
    </row>
    <row r="298" spans="1:26" ht="12" customHeight="1">
      <c r="A298" s="21" t="s">
        <v>608</v>
      </c>
      <c r="B298" s="21"/>
      <c r="C298" s="30">
        <v>40390</v>
      </c>
      <c r="D298" s="30">
        <v>40404</v>
      </c>
      <c r="E298" s="21"/>
      <c r="F298" s="21"/>
      <c r="G298" s="764"/>
      <c r="H298" s="21"/>
      <c r="I298" s="21"/>
      <c r="J298" s="21" t="s">
        <v>19</v>
      </c>
      <c r="K298" s="21" t="s">
        <v>610</v>
      </c>
      <c r="L298" s="21" t="s">
        <v>611</v>
      </c>
      <c r="M298" s="21"/>
      <c r="N298" s="50" t="s">
        <v>609</v>
      </c>
      <c r="O298" s="1013">
        <f>1590*2+70+3*14</f>
        <v>3292</v>
      </c>
      <c r="P298" s="21"/>
      <c r="Q298" s="21" t="s">
        <v>600</v>
      </c>
      <c r="R298" s="876">
        <v>2</v>
      </c>
      <c r="S298" s="764">
        <v>6</v>
      </c>
      <c r="T298" s="764">
        <v>1</v>
      </c>
      <c r="U298" s="46">
        <f>O298/4</f>
        <v>823</v>
      </c>
      <c r="V298" s="78"/>
      <c r="W298" s="21"/>
      <c r="X298" s="21"/>
      <c r="Y298" s="21"/>
      <c r="Z298" s="21"/>
    </row>
    <row r="299" spans="1:26" ht="12" customHeight="1">
      <c r="A299" s="61" t="s">
        <v>737</v>
      </c>
      <c r="B299" s="61" t="s">
        <v>738</v>
      </c>
      <c r="C299" s="62">
        <v>40649</v>
      </c>
      <c r="D299" s="62">
        <v>40656</v>
      </c>
      <c r="E299" s="61" t="s">
        <v>739</v>
      </c>
      <c r="F299" s="61"/>
      <c r="G299" s="802">
        <v>8200</v>
      </c>
      <c r="H299" s="61" t="s">
        <v>740</v>
      </c>
      <c r="I299" s="61" t="s">
        <v>23</v>
      </c>
      <c r="J299" s="61" t="s">
        <v>19</v>
      </c>
      <c r="K299" s="61" t="s">
        <v>741</v>
      </c>
      <c r="L299" s="61" t="s">
        <v>742</v>
      </c>
      <c r="M299" s="61"/>
      <c r="N299" s="63" t="s">
        <v>743</v>
      </c>
      <c r="O299" s="1022">
        <v>790</v>
      </c>
      <c r="P299" s="61"/>
      <c r="Q299" s="61" t="s">
        <v>744</v>
      </c>
      <c r="R299" s="882">
        <v>1</v>
      </c>
      <c r="S299" s="802">
        <v>7</v>
      </c>
      <c r="T299" s="802">
        <v>0</v>
      </c>
      <c r="U299" s="65">
        <v>198</v>
      </c>
      <c r="V299" s="1601"/>
      <c r="W299" s="61"/>
      <c r="X299" s="61"/>
      <c r="Y299" s="61"/>
      <c r="Z299" s="61"/>
    </row>
    <row r="300" spans="1:26" ht="12" customHeight="1">
      <c r="A300" s="21" t="s">
        <v>527</v>
      </c>
      <c r="B300" s="21" t="s">
        <v>528</v>
      </c>
      <c r="C300" s="30">
        <v>40061</v>
      </c>
      <c r="D300" s="30">
        <v>40068</v>
      </c>
      <c r="E300" s="21" t="s">
        <v>529</v>
      </c>
      <c r="F300" s="21"/>
      <c r="G300" s="764">
        <v>54595</v>
      </c>
      <c r="H300" s="21" t="s">
        <v>530</v>
      </c>
      <c r="I300" s="21" t="s">
        <v>18</v>
      </c>
      <c r="J300" s="21" t="s">
        <v>19</v>
      </c>
      <c r="K300" s="21"/>
      <c r="L300" s="21" t="s">
        <v>531</v>
      </c>
      <c r="M300" s="21"/>
      <c r="N300" s="50" t="s">
        <v>532</v>
      </c>
      <c r="O300" s="1013">
        <f>1100+42+70</f>
        <v>1212</v>
      </c>
      <c r="P300" s="21"/>
      <c r="Q300" s="21">
        <v>4</v>
      </c>
      <c r="R300" s="876">
        <v>1</v>
      </c>
      <c r="S300" s="764">
        <v>4</v>
      </c>
      <c r="T300" s="764">
        <v>2</v>
      </c>
      <c r="U300" s="43">
        <v>275</v>
      </c>
      <c r="V300" s="78"/>
      <c r="W300" s="21"/>
      <c r="X300" s="21"/>
      <c r="Y300" s="21"/>
      <c r="Z300" s="21"/>
    </row>
    <row r="301" spans="1:26" ht="12" customHeight="1">
      <c r="A301" s="61" t="s">
        <v>692</v>
      </c>
      <c r="B301" s="61" t="s">
        <v>693</v>
      </c>
      <c r="C301" s="62">
        <v>40740</v>
      </c>
      <c r="D301" s="62">
        <v>40754</v>
      </c>
      <c r="E301" s="61" t="s">
        <v>694</v>
      </c>
      <c r="F301" s="61"/>
      <c r="G301" s="802">
        <v>4054</v>
      </c>
      <c r="H301" s="61" t="s">
        <v>695</v>
      </c>
      <c r="I301" s="61" t="s">
        <v>168</v>
      </c>
      <c r="J301" s="61" t="s">
        <v>19</v>
      </c>
      <c r="K301" s="61" t="s">
        <v>696</v>
      </c>
      <c r="L301" s="61" t="s">
        <v>697</v>
      </c>
      <c r="M301" s="61"/>
      <c r="N301" s="63"/>
      <c r="O301" s="1022">
        <f>1790+2000+70</f>
        <v>3860</v>
      </c>
      <c r="P301" s="61"/>
      <c r="Q301" s="61" t="s">
        <v>699</v>
      </c>
      <c r="R301" s="882">
        <v>2</v>
      </c>
      <c r="S301" s="802">
        <v>5</v>
      </c>
      <c r="T301" s="802">
        <v>0</v>
      </c>
      <c r="U301" s="65">
        <f>3790/4</f>
        <v>947.5</v>
      </c>
      <c r="V301" s="1601"/>
      <c r="W301" s="61"/>
      <c r="X301" s="61"/>
      <c r="Y301" s="61"/>
      <c r="Z301" s="61"/>
    </row>
    <row r="302" spans="1:26" ht="12" customHeight="1">
      <c r="A302" s="21" t="s">
        <v>601</v>
      </c>
      <c r="B302" s="21" t="s">
        <v>347</v>
      </c>
      <c r="C302" s="30">
        <v>40320</v>
      </c>
      <c r="D302" s="30">
        <v>40327</v>
      </c>
      <c r="E302" s="21" t="s">
        <v>348</v>
      </c>
      <c r="F302" s="21"/>
      <c r="G302" s="764" t="s">
        <v>349</v>
      </c>
      <c r="H302" s="21" t="s">
        <v>350</v>
      </c>
      <c r="I302" s="21" t="s">
        <v>54</v>
      </c>
      <c r="J302" s="21" t="s">
        <v>19</v>
      </c>
      <c r="K302" s="21"/>
      <c r="L302" s="21" t="s">
        <v>351</v>
      </c>
      <c r="M302" s="21"/>
      <c r="N302" s="50" t="s">
        <v>352</v>
      </c>
      <c r="O302" s="1020">
        <f>790+70</f>
        <v>860</v>
      </c>
      <c r="P302" s="21"/>
      <c r="Q302" s="21" t="s">
        <v>612</v>
      </c>
      <c r="R302" s="876">
        <v>1</v>
      </c>
      <c r="S302" s="764">
        <v>6</v>
      </c>
      <c r="T302" s="764">
        <v>1</v>
      </c>
      <c r="U302" s="47">
        <f>O302/4</f>
        <v>215</v>
      </c>
      <c r="V302" s="78"/>
      <c r="W302" s="21"/>
      <c r="X302" s="21"/>
      <c r="Y302" s="21"/>
      <c r="Z302" s="21"/>
    </row>
    <row r="303" spans="1:26" ht="12" customHeight="1">
      <c r="A303" s="61" t="s">
        <v>601</v>
      </c>
      <c r="B303" s="61" t="s">
        <v>347</v>
      </c>
      <c r="C303" s="62">
        <v>40690</v>
      </c>
      <c r="D303" s="62">
        <v>40698</v>
      </c>
      <c r="E303" s="61" t="s">
        <v>348</v>
      </c>
      <c r="F303" s="61"/>
      <c r="G303" s="802" t="s">
        <v>349</v>
      </c>
      <c r="H303" s="61" t="s">
        <v>350</v>
      </c>
      <c r="I303" s="61" t="s">
        <v>54</v>
      </c>
      <c r="J303" s="61" t="s">
        <v>19</v>
      </c>
      <c r="K303" s="61"/>
      <c r="L303" s="61" t="s">
        <v>351</v>
      </c>
      <c r="M303" s="61"/>
      <c r="N303" s="63" t="s">
        <v>352</v>
      </c>
      <c r="O303" s="1022">
        <f>890+70</f>
        <v>960</v>
      </c>
      <c r="P303" s="61"/>
      <c r="Q303" s="61" t="s">
        <v>766</v>
      </c>
      <c r="R303" s="882">
        <v>1</v>
      </c>
      <c r="S303" s="802">
        <v>6</v>
      </c>
      <c r="T303" s="802">
        <v>1</v>
      </c>
      <c r="U303" s="1373">
        <v>222.5</v>
      </c>
      <c r="V303" s="1601"/>
      <c r="W303" s="61"/>
      <c r="X303" s="61"/>
      <c r="Y303" s="61"/>
      <c r="Z303" s="61"/>
    </row>
    <row r="304" spans="1:26" ht="12" customHeight="1" thickBot="1">
      <c r="A304" s="115" t="s">
        <v>601</v>
      </c>
      <c r="B304" s="115" t="s">
        <v>347</v>
      </c>
      <c r="C304" s="116">
        <v>42889</v>
      </c>
      <c r="D304" s="116">
        <v>42896</v>
      </c>
      <c r="E304" s="115" t="s">
        <v>348</v>
      </c>
      <c r="F304" s="115"/>
      <c r="G304" s="361" t="s">
        <v>349</v>
      </c>
      <c r="H304" s="115" t="s">
        <v>350</v>
      </c>
      <c r="I304" s="115" t="s">
        <v>54</v>
      </c>
      <c r="J304" s="115" t="s">
        <v>19</v>
      </c>
      <c r="K304" s="115"/>
      <c r="L304" s="115" t="s">
        <v>351</v>
      </c>
      <c r="M304" s="115"/>
      <c r="N304" s="128" t="s">
        <v>352</v>
      </c>
      <c r="O304" s="1033">
        <v>1090</v>
      </c>
      <c r="P304" s="115"/>
      <c r="Q304" s="115" t="s">
        <v>1679</v>
      </c>
      <c r="R304" s="682">
        <v>1</v>
      </c>
      <c r="S304" s="361">
        <v>6</v>
      </c>
      <c r="T304" s="361">
        <v>1</v>
      </c>
      <c r="U304" s="1742">
        <v>275</v>
      </c>
      <c r="V304" s="120"/>
      <c r="W304" s="115" t="s">
        <v>1519</v>
      </c>
      <c r="X304" s="115"/>
      <c r="Y304" s="115"/>
      <c r="Z304" s="115"/>
    </row>
    <row r="305" spans="1:26" ht="12" customHeight="1" thickBot="1">
      <c r="A305" s="517" t="s">
        <v>2812</v>
      </c>
      <c r="B305" s="539" t="s">
        <v>2811</v>
      </c>
      <c r="C305" s="116">
        <v>44191</v>
      </c>
      <c r="D305" s="651">
        <v>44198</v>
      </c>
      <c r="E305" s="539"/>
      <c r="F305" s="115"/>
      <c r="G305" s="361"/>
      <c r="H305" s="115"/>
      <c r="I305" s="115" t="s">
        <v>23</v>
      </c>
      <c r="J305" s="115" t="s">
        <v>19</v>
      </c>
      <c r="K305" s="124"/>
      <c r="L305" s="115" t="s">
        <v>2813</v>
      </c>
      <c r="M305" s="115"/>
      <c r="N305" s="128"/>
      <c r="O305" s="1044">
        <f>1449-234.07</f>
        <v>1214.93</v>
      </c>
      <c r="P305" s="115"/>
      <c r="Q305" s="115" t="s">
        <v>1401</v>
      </c>
      <c r="R305" s="682">
        <v>1</v>
      </c>
      <c r="S305" s="361">
        <v>4</v>
      </c>
      <c r="T305" s="361">
        <v>1</v>
      </c>
      <c r="U305" s="921"/>
      <c r="V305" s="120">
        <v>44181</v>
      </c>
      <c r="W305" s="115" t="s">
        <v>1592</v>
      </c>
      <c r="X305" s="115" t="s">
        <v>1154</v>
      </c>
      <c r="Y305" s="115"/>
      <c r="Z305" s="115"/>
    </row>
    <row r="306" spans="1:26" ht="12" customHeight="1" thickBot="1">
      <c r="A306" s="56" t="s">
        <v>1106</v>
      </c>
      <c r="B306" s="1271"/>
      <c r="C306" s="1293">
        <v>41378</v>
      </c>
      <c r="D306" s="1310">
        <v>41388</v>
      </c>
      <c r="E306" s="1331" t="s">
        <v>1107</v>
      </c>
      <c r="F306" s="21"/>
      <c r="G306" s="764">
        <v>78120</v>
      </c>
      <c r="H306" s="21" t="s">
        <v>1108</v>
      </c>
      <c r="I306" s="21" t="s">
        <v>23</v>
      </c>
      <c r="J306" s="21" t="s">
        <v>19</v>
      </c>
      <c r="K306" s="21"/>
      <c r="L306" s="21" t="s">
        <v>1109</v>
      </c>
      <c r="M306" s="21"/>
      <c r="N306" s="50" t="s">
        <v>1110</v>
      </c>
      <c r="O306" s="1013">
        <f>790+790/2</f>
        <v>1185</v>
      </c>
      <c r="P306" s="21"/>
      <c r="Q306" s="21" t="s">
        <v>1111</v>
      </c>
      <c r="R306" s="876">
        <v>2</v>
      </c>
      <c r="S306" s="764"/>
      <c r="T306" s="764">
        <v>1</v>
      </c>
      <c r="U306" s="1367">
        <v>385</v>
      </c>
      <c r="V306" s="78">
        <v>41339</v>
      </c>
      <c r="W306" s="21"/>
      <c r="X306" s="21"/>
      <c r="Y306" s="21"/>
      <c r="Z306" s="21"/>
    </row>
    <row r="307" spans="1:26" ht="12" customHeight="1" thickBot="1">
      <c r="A307" s="21" t="s">
        <v>1396</v>
      </c>
      <c r="B307" s="21" t="s">
        <v>1395</v>
      </c>
      <c r="C307" s="30">
        <v>42042</v>
      </c>
      <c r="D307" s="1310">
        <v>42049</v>
      </c>
      <c r="E307" s="1331" t="s">
        <v>1397</v>
      </c>
      <c r="F307" s="21"/>
      <c r="G307" s="764">
        <v>72100</v>
      </c>
      <c r="H307" s="21" t="s">
        <v>1398</v>
      </c>
      <c r="I307" s="21" t="s">
        <v>23</v>
      </c>
      <c r="J307" s="21" t="s">
        <v>19</v>
      </c>
      <c r="K307" s="21" t="s">
        <v>1399</v>
      </c>
      <c r="L307" s="21" t="s">
        <v>1400</v>
      </c>
      <c r="M307" s="21"/>
      <c r="N307" s="50"/>
      <c r="O307" s="1013">
        <f>690+70</f>
        <v>760</v>
      </c>
      <c r="P307" s="21"/>
      <c r="Q307" s="21" t="s">
        <v>1401</v>
      </c>
      <c r="R307" s="876">
        <v>1</v>
      </c>
      <c r="S307" s="764">
        <v>4</v>
      </c>
      <c r="T307" s="764">
        <v>0</v>
      </c>
      <c r="U307" s="1367">
        <v>175</v>
      </c>
      <c r="V307" s="78">
        <v>42032</v>
      </c>
      <c r="W307" s="21" t="s">
        <v>1281</v>
      </c>
      <c r="X307" s="21" t="s">
        <v>1154</v>
      </c>
      <c r="Y307" s="21"/>
      <c r="Z307" s="21"/>
    </row>
    <row r="308" spans="1:26" ht="12" customHeight="1" thickBot="1">
      <c r="A308" s="1256" t="s">
        <v>651</v>
      </c>
      <c r="B308" s="1282" t="s">
        <v>652</v>
      </c>
      <c r="C308" s="30">
        <v>40348</v>
      </c>
      <c r="D308" s="1310">
        <v>40355</v>
      </c>
      <c r="E308" s="1331" t="s">
        <v>653</v>
      </c>
      <c r="F308" s="21"/>
      <c r="G308" s="764" t="s">
        <v>654</v>
      </c>
      <c r="H308" s="21" t="s">
        <v>655</v>
      </c>
      <c r="I308" s="21" t="s">
        <v>18</v>
      </c>
      <c r="J308" s="21" t="s">
        <v>19</v>
      </c>
      <c r="K308" s="21"/>
      <c r="L308" s="21" t="s">
        <v>656</v>
      </c>
      <c r="M308" s="21"/>
      <c r="N308" s="50" t="s">
        <v>657</v>
      </c>
      <c r="O308" s="1020">
        <f>950+70</f>
        <v>1020</v>
      </c>
      <c r="P308" s="21"/>
      <c r="Q308" s="21"/>
      <c r="R308" s="876">
        <v>1</v>
      </c>
      <c r="S308" s="764">
        <v>4</v>
      </c>
      <c r="T308" s="764" t="s">
        <v>658</v>
      </c>
      <c r="U308" s="1380">
        <v>237.5</v>
      </c>
      <c r="V308" s="78"/>
      <c r="W308" s="21"/>
      <c r="X308" s="21"/>
      <c r="Y308" s="21"/>
      <c r="Z308" s="21"/>
    </row>
    <row r="309" spans="1:26" ht="12" customHeight="1" thickBot="1">
      <c r="A309" s="21" t="s">
        <v>1538</v>
      </c>
      <c r="B309" s="21" t="s">
        <v>1539</v>
      </c>
      <c r="C309" s="30">
        <v>42427</v>
      </c>
      <c r="D309" s="1310">
        <v>42434</v>
      </c>
      <c r="E309" s="1331" t="s">
        <v>1535</v>
      </c>
      <c r="F309" s="21"/>
      <c r="G309" s="764">
        <v>75019</v>
      </c>
      <c r="H309" s="21" t="s">
        <v>1540</v>
      </c>
      <c r="I309" s="21" t="s">
        <v>983</v>
      </c>
      <c r="J309" s="21" t="s">
        <v>19</v>
      </c>
      <c r="K309" s="21" t="s">
        <v>1537</v>
      </c>
      <c r="L309" s="21" t="s">
        <v>1536</v>
      </c>
      <c r="M309" s="21"/>
      <c r="N309" s="128" t="s">
        <v>1652</v>
      </c>
      <c r="O309" s="1013">
        <f>690+70</f>
        <v>760</v>
      </c>
      <c r="P309" s="21"/>
      <c r="Q309" s="21" t="s">
        <v>1542</v>
      </c>
      <c r="R309" s="876">
        <v>1</v>
      </c>
      <c r="S309" s="764">
        <v>5</v>
      </c>
      <c r="T309" s="764">
        <v>0</v>
      </c>
      <c r="U309" s="1367">
        <v>0</v>
      </c>
      <c r="V309" s="78"/>
      <c r="W309" s="21" t="s">
        <v>1543</v>
      </c>
      <c r="X309" s="21"/>
      <c r="Y309" s="21"/>
      <c r="Z309" s="21"/>
    </row>
    <row r="310" spans="1:26" ht="12" customHeight="1" thickBot="1">
      <c r="A310" s="38" t="s">
        <v>504</v>
      </c>
      <c r="B310" s="1269" t="s">
        <v>98</v>
      </c>
      <c r="C310" s="30">
        <v>39921</v>
      </c>
      <c r="D310" s="1319">
        <v>39928</v>
      </c>
      <c r="E310" s="1271" t="s">
        <v>505</v>
      </c>
      <c r="F310" s="21"/>
      <c r="G310" s="764">
        <v>78200</v>
      </c>
      <c r="H310" s="21" t="s">
        <v>506</v>
      </c>
      <c r="I310" s="21" t="s">
        <v>23</v>
      </c>
      <c r="J310" s="21" t="s">
        <v>19</v>
      </c>
      <c r="K310" s="21" t="s">
        <v>507</v>
      </c>
      <c r="L310" s="21" t="s">
        <v>508</v>
      </c>
      <c r="M310" s="21"/>
      <c r="N310" s="50" t="s">
        <v>485</v>
      </c>
      <c r="O310" s="1013">
        <v>870</v>
      </c>
      <c r="P310" s="21"/>
      <c r="Q310" s="21"/>
      <c r="R310" s="876">
        <v>1</v>
      </c>
      <c r="S310" s="764">
        <v>2</v>
      </c>
      <c r="T310" s="764" t="s">
        <v>509</v>
      </c>
      <c r="U310" s="1357">
        <v>200</v>
      </c>
      <c r="V310" s="78"/>
      <c r="W310" s="21"/>
      <c r="X310" s="21"/>
      <c r="Y310" s="21"/>
      <c r="Z310" s="21"/>
    </row>
    <row r="311" spans="1:26" ht="12" customHeight="1" thickBot="1">
      <c r="A311" s="56" t="s">
        <v>504</v>
      </c>
      <c r="B311" s="1271" t="s">
        <v>98</v>
      </c>
      <c r="C311" s="30">
        <v>39927</v>
      </c>
      <c r="D311" s="1319">
        <v>39934</v>
      </c>
      <c r="E311" s="1271" t="s">
        <v>505</v>
      </c>
      <c r="F311" s="21"/>
      <c r="G311" s="764">
        <v>78200</v>
      </c>
      <c r="H311" s="21" t="s">
        <v>506</v>
      </c>
      <c r="I311" s="21" t="s">
        <v>23</v>
      </c>
      <c r="J311" s="21" t="s">
        <v>19</v>
      </c>
      <c r="K311" s="21" t="s">
        <v>507</v>
      </c>
      <c r="L311" s="21" t="s">
        <v>508</v>
      </c>
      <c r="M311" s="21"/>
      <c r="N311" s="50" t="s">
        <v>485</v>
      </c>
      <c r="O311" s="1013">
        <f>820+70</f>
        <v>890</v>
      </c>
      <c r="P311" s="21"/>
      <c r="Q311" s="21" t="s">
        <v>509</v>
      </c>
      <c r="R311" s="876">
        <v>1</v>
      </c>
      <c r="S311" s="764">
        <v>2</v>
      </c>
      <c r="T311" s="764" t="s">
        <v>509</v>
      </c>
      <c r="U311" s="1357">
        <v>205</v>
      </c>
      <c r="V311" s="78"/>
      <c r="W311" s="21"/>
      <c r="X311" s="21"/>
      <c r="Y311" s="21"/>
      <c r="Z311" s="21"/>
    </row>
    <row r="312" spans="1:26" ht="12" customHeight="1">
      <c r="A312" s="21" t="s">
        <v>504</v>
      </c>
      <c r="B312" s="21" t="s">
        <v>98</v>
      </c>
      <c r="C312" s="30">
        <v>41209</v>
      </c>
      <c r="D312" s="30">
        <v>41216</v>
      </c>
      <c r="E312" s="21" t="s">
        <v>505</v>
      </c>
      <c r="F312" s="21"/>
      <c r="G312" s="764">
        <v>78200</v>
      </c>
      <c r="H312" s="21" t="s">
        <v>506</v>
      </c>
      <c r="I312" s="21" t="s">
        <v>23</v>
      </c>
      <c r="J312" s="21" t="s">
        <v>19</v>
      </c>
      <c r="K312" s="21" t="s">
        <v>507</v>
      </c>
      <c r="L312" s="21" t="s">
        <v>508</v>
      </c>
      <c r="M312" s="21"/>
      <c r="N312" s="50" t="s">
        <v>485</v>
      </c>
      <c r="O312" s="1013">
        <f>890+70</f>
        <v>960</v>
      </c>
      <c r="P312" s="21"/>
      <c r="Q312" s="21"/>
      <c r="R312" s="876">
        <v>1</v>
      </c>
      <c r="S312" s="764">
        <v>2</v>
      </c>
      <c r="T312" s="764" t="s">
        <v>509</v>
      </c>
      <c r="U312" s="1726">
        <v>223</v>
      </c>
      <c r="V312" s="78">
        <v>41102</v>
      </c>
      <c r="W312" s="21" t="s">
        <v>946</v>
      </c>
      <c r="X312" s="21"/>
      <c r="Y312" s="21"/>
      <c r="Z312" s="21"/>
    </row>
    <row r="313" spans="1:26" ht="12" customHeight="1">
      <c r="A313" s="820" t="s">
        <v>504</v>
      </c>
      <c r="B313" s="820" t="s">
        <v>98</v>
      </c>
      <c r="C313" s="821">
        <v>45236</v>
      </c>
      <c r="D313" s="821">
        <v>45243</v>
      </c>
      <c r="E313" s="820" t="s">
        <v>505</v>
      </c>
      <c r="F313" s="820"/>
      <c r="G313" s="822">
        <v>78200</v>
      </c>
      <c r="H313" s="820" t="s">
        <v>506</v>
      </c>
      <c r="I313" s="820" t="s">
        <v>23</v>
      </c>
      <c r="J313" s="820" t="s">
        <v>19</v>
      </c>
      <c r="K313" s="820" t="s">
        <v>507</v>
      </c>
      <c r="L313" s="820" t="s">
        <v>508</v>
      </c>
      <c r="M313" s="820"/>
      <c r="N313" s="1458" t="s">
        <v>485</v>
      </c>
      <c r="O313" s="1026">
        <f>1090+70</f>
        <v>1160</v>
      </c>
      <c r="P313" s="820"/>
      <c r="Q313" s="820" t="s">
        <v>3652</v>
      </c>
      <c r="R313" s="885">
        <v>1</v>
      </c>
      <c r="S313" s="822">
        <v>2</v>
      </c>
      <c r="T313" s="822" t="s">
        <v>509</v>
      </c>
      <c r="U313" s="1735"/>
      <c r="V313" s="825">
        <v>45227</v>
      </c>
      <c r="W313" s="820" t="s">
        <v>3653</v>
      </c>
      <c r="X313" s="820"/>
      <c r="Y313" s="820"/>
      <c r="Z313" s="820"/>
    </row>
    <row r="314" spans="1:26" ht="12" customHeight="1">
      <c r="A314" s="21" t="s">
        <v>1403</v>
      </c>
      <c r="B314" s="21" t="s">
        <v>1404</v>
      </c>
      <c r="C314" s="30">
        <v>42126</v>
      </c>
      <c r="D314" s="30">
        <v>42133</v>
      </c>
      <c r="E314" s="21" t="s">
        <v>1405</v>
      </c>
      <c r="F314" s="21"/>
      <c r="G314" s="764">
        <v>59740</v>
      </c>
      <c r="H314" s="21" t="s">
        <v>1406</v>
      </c>
      <c r="I314" s="21" t="s">
        <v>23</v>
      </c>
      <c r="J314" s="21" t="s">
        <v>19</v>
      </c>
      <c r="K314" s="21" t="s">
        <v>1407</v>
      </c>
      <c r="L314" s="21" t="s">
        <v>1408</v>
      </c>
      <c r="M314" s="21"/>
      <c r="N314" s="50" t="s">
        <v>1409</v>
      </c>
      <c r="O314" s="1013">
        <v>790</v>
      </c>
      <c r="P314" s="21"/>
      <c r="Q314" s="21"/>
      <c r="R314" s="876">
        <v>1</v>
      </c>
      <c r="S314" s="764" t="s">
        <v>1411</v>
      </c>
      <c r="T314" s="764"/>
      <c r="U314" s="1367">
        <v>198</v>
      </c>
      <c r="V314" s="78">
        <v>42043</v>
      </c>
      <c r="W314" s="21"/>
      <c r="X314" s="21" t="s">
        <v>1154</v>
      </c>
      <c r="Y314" s="21"/>
      <c r="Z314" s="21"/>
    </row>
    <row r="315" spans="1:26" ht="12" customHeight="1">
      <c r="A315" s="355" t="s">
        <v>2911</v>
      </c>
      <c r="B315" s="355" t="s">
        <v>2912</v>
      </c>
      <c r="C315" s="357">
        <v>44289</v>
      </c>
      <c r="D315" s="357">
        <v>44310</v>
      </c>
      <c r="E315" s="355" t="s">
        <v>2913</v>
      </c>
      <c r="F315" s="355"/>
      <c r="G315" s="358">
        <v>75008</v>
      </c>
      <c r="H315" s="355" t="s">
        <v>2914</v>
      </c>
      <c r="I315" s="355" t="s">
        <v>103</v>
      </c>
      <c r="J315" s="355" t="s">
        <v>19</v>
      </c>
      <c r="K315" s="368"/>
      <c r="L315" s="355" t="s">
        <v>2915</v>
      </c>
      <c r="M315" s="355"/>
      <c r="N315" s="365" t="s">
        <v>2916</v>
      </c>
      <c r="O315" s="1036">
        <f>890*3*0.8</f>
        <v>2136</v>
      </c>
      <c r="P315" s="355"/>
      <c r="Q315" s="355" t="s">
        <v>2917</v>
      </c>
      <c r="R315" s="891">
        <v>3</v>
      </c>
      <c r="S315" s="358">
        <v>5</v>
      </c>
      <c r="T315" s="358">
        <v>1</v>
      </c>
      <c r="U315" s="355"/>
      <c r="V315" s="360">
        <v>44288</v>
      </c>
      <c r="W315" s="355" t="s">
        <v>2884</v>
      </c>
      <c r="X315" s="355" t="s">
        <v>2918</v>
      </c>
      <c r="Y315" s="355"/>
      <c r="Z315" s="355"/>
    </row>
    <row r="316" spans="1:26" ht="12" customHeight="1">
      <c r="A316" s="355" t="s">
        <v>2872</v>
      </c>
      <c r="B316" s="355" t="s">
        <v>2873</v>
      </c>
      <c r="C316" s="357">
        <v>44254</v>
      </c>
      <c r="D316" s="357">
        <v>44261</v>
      </c>
      <c r="E316" s="355" t="s">
        <v>2874</v>
      </c>
      <c r="F316" s="355"/>
      <c r="G316" s="358">
        <v>44240</v>
      </c>
      <c r="H316" s="355" t="s">
        <v>2875</v>
      </c>
      <c r="I316" s="355" t="s">
        <v>23</v>
      </c>
      <c r="J316" s="355" t="s">
        <v>19</v>
      </c>
      <c r="K316" s="368"/>
      <c r="L316" s="355" t="s">
        <v>2876</v>
      </c>
      <c r="M316" s="355"/>
      <c r="N316" s="365" t="s">
        <v>2877</v>
      </c>
      <c r="O316" s="1036">
        <f>790+70</f>
        <v>860</v>
      </c>
      <c r="P316" s="355"/>
      <c r="Q316" s="355" t="s">
        <v>1343</v>
      </c>
      <c r="R316" s="891">
        <v>1</v>
      </c>
      <c r="S316" s="358">
        <v>6</v>
      </c>
      <c r="T316" s="358">
        <v>0</v>
      </c>
      <c r="U316" s="355"/>
      <c r="V316" s="360">
        <v>44251</v>
      </c>
      <c r="W316" s="355"/>
      <c r="X316" s="355" t="s">
        <v>1154</v>
      </c>
      <c r="Y316" s="355"/>
      <c r="Z316" s="355"/>
    </row>
    <row r="317" spans="1:26" ht="12" customHeight="1">
      <c r="A317" s="67" t="s">
        <v>1072</v>
      </c>
      <c r="B317" s="67" t="s">
        <v>1073</v>
      </c>
      <c r="C317" s="68">
        <v>41503</v>
      </c>
      <c r="D317" s="68">
        <v>41517</v>
      </c>
      <c r="E317" s="67" t="s">
        <v>1074</v>
      </c>
      <c r="F317" s="67"/>
      <c r="G317" s="803">
        <v>74500</v>
      </c>
      <c r="H317" s="67" t="s">
        <v>1075</v>
      </c>
      <c r="I317" s="67" t="s">
        <v>23</v>
      </c>
      <c r="J317" s="67" t="s">
        <v>19</v>
      </c>
      <c r="K317" s="67" t="s">
        <v>1077</v>
      </c>
      <c r="L317" s="67" t="s">
        <v>1076</v>
      </c>
      <c r="M317" s="67"/>
      <c r="N317" s="69"/>
      <c r="O317" s="1023">
        <v>745</v>
      </c>
      <c r="P317" s="67"/>
      <c r="Q317" s="67" t="s">
        <v>1079</v>
      </c>
      <c r="R317" s="883">
        <v>0</v>
      </c>
      <c r="S317" s="803" t="s">
        <v>1080</v>
      </c>
      <c r="T317" s="803">
        <v>2</v>
      </c>
      <c r="U317" s="1378">
        <f>O317/4</f>
        <v>186.25</v>
      </c>
      <c r="V317" s="94">
        <v>41293</v>
      </c>
      <c r="W317" s="67" t="s">
        <v>1081</v>
      </c>
      <c r="X317" s="67"/>
      <c r="Y317" s="67"/>
      <c r="Z317" s="67"/>
    </row>
    <row r="318" spans="1:26" ht="12" customHeight="1">
      <c r="A318" s="115" t="s">
        <v>2753</v>
      </c>
      <c r="B318" s="115" t="s">
        <v>266</v>
      </c>
      <c r="C318" s="116">
        <v>44128</v>
      </c>
      <c r="D318" s="116">
        <v>44135</v>
      </c>
      <c r="E318" s="115" t="s">
        <v>2754</v>
      </c>
      <c r="F318" s="115"/>
      <c r="G318" s="361">
        <v>60300</v>
      </c>
      <c r="H318" s="115" t="s">
        <v>2755</v>
      </c>
      <c r="I318" s="115" t="s">
        <v>983</v>
      </c>
      <c r="J318" s="115" t="s">
        <v>19</v>
      </c>
      <c r="K318" s="115"/>
      <c r="L318" s="115" t="s">
        <v>2756</v>
      </c>
      <c r="M318" s="115"/>
      <c r="N318" s="128" t="s">
        <v>2757</v>
      </c>
      <c r="O318" s="1027">
        <v>990</v>
      </c>
      <c r="P318" s="115"/>
      <c r="Q318" s="115" t="s">
        <v>2758</v>
      </c>
      <c r="R318" s="682">
        <v>1</v>
      </c>
      <c r="S318" s="361">
        <v>5</v>
      </c>
      <c r="T318" s="361">
        <v>1</v>
      </c>
      <c r="U318" s="598">
        <v>0</v>
      </c>
      <c r="V318" s="120">
        <v>44125</v>
      </c>
      <c r="W318" s="115" t="s">
        <v>1543</v>
      </c>
      <c r="X318" s="115" t="s">
        <v>1154</v>
      </c>
      <c r="Y318" s="115"/>
      <c r="Z318" s="115"/>
    </row>
    <row r="319" spans="1:26" ht="12" customHeight="1">
      <c r="A319" s="8" t="s">
        <v>297</v>
      </c>
      <c r="B319" s="8" t="s">
        <v>298</v>
      </c>
      <c r="C319" s="31">
        <v>38549</v>
      </c>
      <c r="D319" s="31">
        <v>38563</v>
      </c>
      <c r="E319" s="8" t="s">
        <v>299</v>
      </c>
      <c r="G319" s="132">
        <v>54190</v>
      </c>
      <c r="H319" s="8" t="s">
        <v>300</v>
      </c>
      <c r="I319" s="8" t="s">
        <v>23</v>
      </c>
      <c r="J319" s="8" t="s">
        <v>19</v>
      </c>
      <c r="K319" s="8" t="s">
        <v>301</v>
      </c>
      <c r="N319" s="49" t="s">
        <v>302</v>
      </c>
      <c r="O319" s="1012">
        <v>1300</v>
      </c>
      <c r="R319" s="685">
        <v>2</v>
      </c>
      <c r="S319" s="132">
        <v>2</v>
      </c>
      <c r="T319" s="132">
        <v>1</v>
      </c>
      <c r="U319" s="8" t="s">
        <v>232</v>
      </c>
    </row>
    <row r="320" spans="1:26" ht="12" customHeight="1">
      <c r="A320" s="21" t="s">
        <v>1245</v>
      </c>
      <c r="B320" s="21" t="s">
        <v>1246</v>
      </c>
      <c r="C320" s="30">
        <v>41699</v>
      </c>
      <c r="D320" s="30">
        <v>41706</v>
      </c>
      <c r="E320" s="21" t="s">
        <v>1248</v>
      </c>
      <c r="F320" s="21"/>
      <c r="G320" s="764">
        <v>60400</v>
      </c>
      <c r="H320" s="21" t="s">
        <v>1249</v>
      </c>
      <c r="I320" s="21" t="s">
        <v>23</v>
      </c>
      <c r="J320" s="21" t="s">
        <v>19</v>
      </c>
      <c r="K320" s="21" t="s">
        <v>1247</v>
      </c>
      <c r="L320" s="21"/>
      <c r="M320" s="21"/>
      <c r="N320" s="50" t="s">
        <v>1250</v>
      </c>
      <c r="O320" s="1013">
        <v>600</v>
      </c>
      <c r="P320" s="21"/>
      <c r="Q320" s="21"/>
      <c r="R320" s="876">
        <v>1</v>
      </c>
      <c r="S320" s="764">
        <v>6</v>
      </c>
      <c r="T320" s="764">
        <v>0</v>
      </c>
      <c r="U320" s="1726"/>
      <c r="V320" s="78">
        <v>41685</v>
      </c>
      <c r="W320" s="21"/>
      <c r="X320" s="21" t="s">
        <v>1217</v>
      </c>
      <c r="Y320" s="21"/>
      <c r="Z320" s="21"/>
    </row>
    <row r="321" spans="1:26" ht="12" customHeight="1">
      <c r="A321" s="21" t="s">
        <v>632</v>
      </c>
      <c r="B321" s="21" t="s">
        <v>627</v>
      </c>
      <c r="C321" s="30">
        <v>40453</v>
      </c>
      <c r="D321" s="30">
        <v>40467</v>
      </c>
      <c r="E321" s="21" t="s">
        <v>633</v>
      </c>
      <c r="F321" s="21"/>
      <c r="G321" s="764" t="s">
        <v>634</v>
      </c>
      <c r="H321" s="21" t="s">
        <v>635</v>
      </c>
      <c r="I321" s="21" t="s">
        <v>168</v>
      </c>
      <c r="J321" s="21" t="s">
        <v>19</v>
      </c>
      <c r="K321" s="21" t="s">
        <v>636</v>
      </c>
      <c r="L321" s="21" t="s">
        <v>637</v>
      </c>
      <c r="M321" s="21"/>
      <c r="N321" s="50" t="s">
        <v>638</v>
      </c>
      <c r="O321" s="1013">
        <v>1800</v>
      </c>
      <c r="P321" s="21"/>
      <c r="Q321" s="21" t="s">
        <v>639</v>
      </c>
      <c r="R321" s="876">
        <v>2</v>
      </c>
      <c r="S321" s="764">
        <v>2</v>
      </c>
      <c r="T321" s="764">
        <v>1</v>
      </c>
      <c r="U321" s="1364">
        <v>450</v>
      </c>
      <c r="V321" s="78"/>
      <c r="W321" s="21"/>
      <c r="X321" s="21"/>
      <c r="Y321" s="21"/>
      <c r="Z321" s="21"/>
    </row>
    <row r="322" spans="1:26" ht="12" customHeight="1">
      <c r="A322" s="355" t="s">
        <v>1884</v>
      </c>
      <c r="B322" s="355" t="s">
        <v>256</v>
      </c>
      <c r="C322" s="357">
        <v>43288</v>
      </c>
      <c r="D322" s="357">
        <v>43302</v>
      </c>
      <c r="E322" s="355" t="s">
        <v>1885</v>
      </c>
      <c r="F322" s="355"/>
      <c r="G322" s="358" t="s">
        <v>1886</v>
      </c>
      <c r="H322" s="355" t="s">
        <v>1887</v>
      </c>
      <c r="I322" s="355" t="s">
        <v>168</v>
      </c>
      <c r="J322" s="355" t="s">
        <v>19</v>
      </c>
      <c r="K322" s="355" t="s">
        <v>1889</v>
      </c>
      <c r="L322" s="355" t="s">
        <v>1888</v>
      </c>
      <c r="M322" s="355"/>
      <c r="N322" s="365" t="s">
        <v>1890</v>
      </c>
      <c r="O322" s="1036">
        <v>3380</v>
      </c>
      <c r="P322" s="355"/>
      <c r="Q322" s="355" t="s">
        <v>1891</v>
      </c>
      <c r="R322" s="891">
        <v>2</v>
      </c>
      <c r="S322" s="358">
        <v>4</v>
      </c>
      <c r="T322" s="358">
        <v>2</v>
      </c>
      <c r="U322" s="356" t="s">
        <v>1832</v>
      </c>
      <c r="V322" s="360">
        <v>43092</v>
      </c>
      <c r="W322" s="355" t="s">
        <v>1769</v>
      </c>
      <c r="X322" s="355" t="s">
        <v>1154</v>
      </c>
      <c r="Y322" s="355"/>
      <c r="Z322" s="355"/>
    </row>
    <row r="323" spans="1:26" s="21" customFormat="1" ht="12" customHeight="1">
      <c r="A323" s="21" t="s">
        <v>477</v>
      </c>
      <c r="B323" s="21" t="s">
        <v>484</v>
      </c>
      <c r="C323" s="30">
        <v>40026</v>
      </c>
      <c r="D323" s="30">
        <v>40040</v>
      </c>
      <c r="E323" s="21" t="s">
        <v>478</v>
      </c>
      <c r="G323" s="764">
        <v>81245</v>
      </c>
      <c r="H323" s="21" t="s">
        <v>479</v>
      </c>
      <c r="I323" s="21" t="s">
        <v>18</v>
      </c>
      <c r="J323" s="21" t="s">
        <v>19</v>
      </c>
      <c r="K323" s="21" t="s">
        <v>481</v>
      </c>
      <c r="L323" s="21" t="s">
        <v>480</v>
      </c>
      <c r="N323" s="50" t="s">
        <v>482</v>
      </c>
      <c r="O323" s="1013">
        <v>3070</v>
      </c>
      <c r="Q323" s="21" t="s">
        <v>483</v>
      </c>
      <c r="R323" s="876">
        <v>2</v>
      </c>
      <c r="S323" s="764">
        <v>6</v>
      </c>
      <c r="T323" s="764"/>
      <c r="U323" s="43">
        <v>750</v>
      </c>
      <c r="V323" s="78"/>
    </row>
    <row r="324" spans="1:26" s="115" customFormat="1" ht="12" customHeight="1">
      <c r="A324" s="21" t="s">
        <v>537</v>
      </c>
      <c r="B324" s="21" t="s">
        <v>538</v>
      </c>
      <c r="C324" s="30">
        <v>40083</v>
      </c>
      <c r="D324" s="30">
        <v>40090</v>
      </c>
      <c r="E324" s="21" t="s">
        <v>535</v>
      </c>
      <c r="F324" s="21"/>
      <c r="G324" s="764">
        <v>8427</v>
      </c>
      <c r="H324" s="21" t="s">
        <v>594</v>
      </c>
      <c r="I324" s="21" t="s">
        <v>168</v>
      </c>
      <c r="J324" s="21" t="s">
        <v>19</v>
      </c>
      <c r="K324" s="21" t="s">
        <v>540</v>
      </c>
      <c r="L324" s="21" t="s">
        <v>539</v>
      </c>
      <c r="M324" s="21"/>
      <c r="N324" s="50" t="s">
        <v>536</v>
      </c>
      <c r="O324" s="1013">
        <v>970</v>
      </c>
      <c r="P324" s="21"/>
      <c r="Q324" s="21"/>
      <c r="R324" s="876">
        <v>1</v>
      </c>
      <c r="S324" s="764">
        <v>4</v>
      </c>
      <c r="T324" s="764">
        <v>1</v>
      </c>
      <c r="U324" s="43">
        <v>225</v>
      </c>
      <c r="V324" s="78"/>
      <c r="W324" s="21"/>
      <c r="X324" s="21"/>
      <c r="Y324" s="21"/>
      <c r="Z324" s="21"/>
    </row>
    <row r="325" spans="1:26" s="21" customFormat="1" ht="12" customHeight="1">
      <c r="A325" s="21" t="s">
        <v>722</v>
      </c>
      <c r="B325" s="21" t="s">
        <v>723</v>
      </c>
      <c r="C325" s="30">
        <v>40754</v>
      </c>
      <c r="D325" s="30">
        <v>40761</v>
      </c>
      <c r="E325" s="21" t="s">
        <v>724</v>
      </c>
      <c r="G325" s="764">
        <v>8597</v>
      </c>
      <c r="H325" s="21" t="s">
        <v>725</v>
      </c>
      <c r="I325" s="21" t="s">
        <v>168</v>
      </c>
      <c r="J325" s="21" t="s">
        <v>19</v>
      </c>
      <c r="L325" s="21" t="s">
        <v>726</v>
      </c>
      <c r="N325" s="50" t="s">
        <v>727</v>
      </c>
      <c r="O325" s="1013">
        <f>2000+70+20</f>
        <v>2090</v>
      </c>
      <c r="Q325" s="21" t="s">
        <v>728</v>
      </c>
      <c r="R325" s="876">
        <v>1</v>
      </c>
      <c r="S325" s="764">
        <v>4</v>
      </c>
      <c r="T325" s="764">
        <v>1</v>
      </c>
      <c r="U325" s="23">
        <v>500</v>
      </c>
      <c r="V325" s="78"/>
    </row>
    <row r="326" spans="1:26" s="115" customFormat="1" ht="12" customHeight="1">
      <c r="A326" s="21" t="s">
        <v>729</v>
      </c>
      <c r="B326" s="21" t="s">
        <v>730</v>
      </c>
      <c r="C326" s="30">
        <v>40775</v>
      </c>
      <c r="D326" s="30">
        <v>40789</v>
      </c>
      <c r="E326" s="21" t="s">
        <v>732</v>
      </c>
      <c r="F326" s="21"/>
      <c r="G326" s="764">
        <v>54000</v>
      </c>
      <c r="H326" s="21" t="s">
        <v>733</v>
      </c>
      <c r="I326" s="21" t="s">
        <v>23</v>
      </c>
      <c r="J326" s="21" t="s">
        <v>19</v>
      </c>
      <c r="K326" s="21" t="s">
        <v>734</v>
      </c>
      <c r="L326" s="21" t="s">
        <v>735</v>
      </c>
      <c r="M326" s="21"/>
      <c r="N326" s="50" t="s">
        <v>731</v>
      </c>
      <c r="O326" s="1013">
        <f>1590+1390</f>
        <v>2980</v>
      </c>
      <c r="P326" s="21"/>
      <c r="Q326" s="21" t="s">
        <v>736</v>
      </c>
      <c r="R326" s="876">
        <v>2</v>
      </c>
      <c r="S326" s="764">
        <v>4</v>
      </c>
      <c r="T326" s="764"/>
      <c r="U326" s="23">
        <v>745</v>
      </c>
      <c r="V326" s="78"/>
      <c r="W326" s="21"/>
      <c r="X326" s="21"/>
      <c r="Y326" s="21"/>
      <c r="Z326" s="21"/>
    </row>
    <row r="327" spans="1:26" s="115" customFormat="1" ht="12" customHeight="1">
      <c r="A327" s="900" t="s">
        <v>2440</v>
      </c>
      <c r="B327" s="900" t="s">
        <v>2441</v>
      </c>
      <c r="C327" s="901">
        <v>44009</v>
      </c>
      <c r="D327" s="901">
        <v>44016</v>
      </c>
      <c r="E327" s="900" t="s">
        <v>1064</v>
      </c>
      <c r="F327" s="900"/>
      <c r="G327" s="902" t="s">
        <v>1065</v>
      </c>
      <c r="H327" s="900"/>
      <c r="I327" s="900" t="s">
        <v>54</v>
      </c>
      <c r="J327" s="900" t="s">
        <v>19</v>
      </c>
      <c r="K327" s="900"/>
      <c r="L327" s="900" t="s">
        <v>2443</v>
      </c>
      <c r="M327" s="900"/>
      <c r="N327" s="903" t="s">
        <v>2442</v>
      </c>
      <c r="O327" s="1043">
        <v>0</v>
      </c>
      <c r="P327" s="900"/>
      <c r="Q327" s="900" t="s">
        <v>2591</v>
      </c>
      <c r="R327" s="905"/>
      <c r="S327" s="902" t="s">
        <v>2444</v>
      </c>
      <c r="T327" s="902">
        <v>1</v>
      </c>
      <c r="U327" s="906" t="s">
        <v>2445</v>
      </c>
      <c r="V327" s="907">
        <v>41302</v>
      </c>
      <c r="W327" s="900" t="s">
        <v>1071</v>
      </c>
      <c r="X327" s="900" t="s">
        <v>1154</v>
      </c>
      <c r="Y327" s="900" t="s">
        <v>2608</v>
      </c>
      <c r="Z327" s="900"/>
    </row>
    <row r="328" spans="1:26" s="115" customFormat="1" ht="12" customHeight="1">
      <c r="A328" s="21" t="s">
        <v>1062</v>
      </c>
      <c r="B328" s="21" t="s">
        <v>1063</v>
      </c>
      <c r="C328" s="30">
        <v>41440</v>
      </c>
      <c r="D328" s="30">
        <v>41452</v>
      </c>
      <c r="E328" s="21" t="s">
        <v>1064</v>
      </c>
      <c r="F328" s="21"/>
      <c r="G328" s="764" t="s">
        <v>1065</v>
      </c>
      <c r="H328" s="21"/>
      <c r="I328" s="21" t="s">
        <v>54</v>
      </c>
      <c r="J328" s="21" t="s">
        <v>19</v>
      </c>
      <c r="K328" s="21" t="s">
        <v>1067</v>
      </c>
      <c r="L328" s="21" t="s">
        <v>1066</v>
      </c>
      <c r="M328" s="21"/>
      <c r="N328" s="50" t="s">
        <v>1068</v>
      </c>
      <c r="O328" s="1013">
        <f>1190+3*12+810</f>
        <v>2036</v>
      </c>
      <c r="P328" s="21"/>
      <c r="Q328" s="21" t="s">
        <v>1069</v>
      </c>
      <c r="R328" s="876">
        <v>2</v>
      </c>
      <c r="S328" s="764" t="s">
        <v>1070</v>
      </c>
      <c r="T328" s="764">
        <v>1</v>
      </c>
      <c r="U328" s="75">
        <f>O328/4</f>
        <v>509</v>
      </c>
      <c r="V328" s="78">
        <v>41302</v>
      </c>
      <c r="W328" s="21" t="s">
        <v>1071</v>
      </c>
      <c r="X328" s="21"/>
      <c r="Y328" s="21"/>
      <c r="Z328" s="21"/>
    </row>
    <row r="329" spans="1:26" s="115" customFormat="1" ht="12" customHeight="1">
      <c r="A329" s="21" t="s">
        <v>1062</v>
      </c>
      <c r="B329" s="21" t="s">
        <v>1063</v>
      </c>
      <c r="C329" s="30">
        <v>41874</v>
      </c>
      <c r="D329" s="30">
        <v>41888</v>
      </c>
      <c r="E329" s="21" t="s">
        <v>1064</v>
      </c>
      <c r="F329" s="21"/>
      <c r="G329" s="764" t="s">
        <v>1065</v>
      </c>
      <c r="H329" s="21"/>
      <c r="I329" s="21" t="s">
        <v>54</v>
      </c>
      <c r="J329" s="21" t="s">
        <v>19</v>
      </c>
      <c r="K329" s="21" t="s">
        <v>1067</v>
      </c>
      <c r="L329" s="21" t="s">
        <v>1066</v>
      </c>
      <c r="M329" s="21"/>
      <c r="N329" s="50" t="s">
        <v>1068</v>
      </c>
      <c r="O329" s="1013">
        <f>1590+1290</f>
        <v>2880</v>
      </c>
      <c r="P329" s="21"/>
      <c r="Q329" s="21" t="s">
        <v>1183</v>
      </c>
      <c r="R329" s="876">
        <v>2</v>
      </c>
      <c r="S329" s="764" t="s">
        <v>1070</v>
      </c>
      <c r="T329" s="764">
        <v>1</v>
      </c>
      <c r="U329" s="75">
        <f>O329/4</f>
        <v>720</v>
      </c>
      <c r="V329" s="78">
        <v>41302</v>
      </c>
      <c r="W329" s="21" t="s">
        <v>1071</v>
      </c>
      <c r="X329" s="21"/>
      <c r="Y329" s="21"/>
      <c r="Z329" s="21"/>
    </row>
    <row r="330" spans="1:26" s="115" customFormat="1" ht="12" customHeight="1">
      <c r="A330" s="21" t="s">
        <v>1062</v>
      </c>
      <c r="B330" s="21" t="s">
        <v>1063</v>
      </c>
      <c r="C330" s="30">
        <v>42231</v>
      </c>
      <c r="D330" s="30">
        <v>42245</v>
      </c>
      <c r="E330" s="21" t="s">
        <v>1064</v>
      </c>
      <c r="F330" s="21"/>
      <c r="G330" s="764" t="s">
        <v>1065</v>
      </c>
      <c r="H330" s="21"/>
      <c r="I330" s="21" t="s">
        <v>54</v>
      </c>
      <c r="J330" s="21" t="s">
        <v>19</v>
      </c>
      <c r="K330" s="21" t="s">
        <v>1067</v>
      </c>
      <c r="L330" s="21" t="s">
        <v>1066</v>
      </c>
      <c r="M330" s="21"/>
      <c r="N330" s="50" t="s">
        <v>1068</v>
      </c>
      <c r="O330" s="1013">
        <f>1790+1590</f>
        <v>3380</v>
      </c>
      <c r="P330" s="21"/>
      <c r="Q330" s="21" t="s">
        <v>1183</v>
      </c>
      <c r="R330" s="876">
        <v>2</v>
      </c>
      <c r="S330" s="764" t="s">
        <v>1070</v>
      </c>
      <c r="T330" s="764">
        <v>1</v>
      </c>
      <c r="U330" s="75"/>
      <c r="V330" s="78">
        <v>42003</v>
      </c>
      <c r="W330" s="21" t="s">
        <v>1071</v>
      </c>
      <c r="X330" s="21" t="s">
        <v>1154</v>
      </c>
      <c r="Y330" s="21"/>
      <c r="Z330" s="21"/>
    </row>
    <row r="331" spans="1:26" s="115" customFormat="1" ht="12" customHeight="1">
      <c r="A331" s="21" t="s">
        <v>1062</v>
      </c>
      <c r="B331" s="21" t="s">
        <v>1063</v>
      </c>
      <c r="C331" s="30">
        <v>42462</v>
      </c>
      <c r="D331" s="30">
        <v>42469</v>
      </c>
      <c r="E331" s="21" t="s">
        <v>1064</v>
      </c>
      <c r="F331" s="21"/>
      <c r="G331" s="764" t="s">
        <v>1065</v>
      </c>
      <c r="H331" s="21"/>
      <c r="I331" s="21" t="s">
        <v>54</v>
      </c>
      <c r="J331" s="21" t="s">
        <v>19</v>
      </c>
      <c r="K331" s="21" t="s">
        <v>1067</v>
      </c>
      <c r="L331" s="21" t="s">
        <v>1066</v>
      </c>
      <c r="M331" s="21"/>
      <c r="N331" s="835" t="s">
        <v>1743</v>
      </c>
      <c r="O331" s="1013">
        <f>U331*4+50</f>
        <v>840</v>
      </c>
      <c r="P331" s="21"/>
      <c r="Q331" s="21" t="s">
        <v>1183</v>
      </c>
      <c r="R331" s="876">
        <v>1</v>
      </c>
      <c r="S331" s="764" t="s">
        <v>1518</v>
      </c>
      <c r="T331" s="764">
        <v>1</v>
      </c>
      <c r="U331" s="75">
        <v>197.5</v>
      </c>
      <c r="V331" s="78" t="s">
        <v>1519</v>
      </c>
      <c r="W331" s="21" t="s">
        <v>1071</v>
      </c>
      <c r="X331" s="21" t="s">
        <v>1154</v>
      </c>
      <c r="Y331" s="21"/>
      <c r="Z331" s="21"/>
    </row>
    <row r="332" spans="1:26" s="115" customFormat="1" ht="12" customHeight="1">
      <c r="A332" s="115" t="s">
        <v>1062</v>
      </c>
      <c r="B332" s="115" t="s">
        <v>1063</v>
      </c>
      <c r="C332" s="116">
        <v>42833</v>
      </c>
      <c r="D332" s="116">
        <v>42840</v>
      </c>
      <c r="E332" s="115" t="s">
        <v>1064</v>
      </c>
      <c r="G332" s="361" t="s">
        <v>1065</v>
      </c>
      <c r="H332" s="115" t="s">
        <v>54</v>
      </c>
      <c r="I332" s="115" t="s">
        <v>54</v>
      </c>
      <c r="J332" s="115" t="s">
        <v>19</v>
      </c>
      <c r="K332" s="115" t="s">
        <v>1067</v>
      </c>
      <c r="L332" s="115" t="s">
        <v>1066</v>
      </c>
      <c r="N332" s="363" t="s">
        <v>1068</v>
      </c>
      <c r="O332" s="1027">
        <f>U332*4</f>
        <v>790</v>
      </c>
      <c r="Q332" s="115" t="s">
        <v>1183</v>
      </c>
      <c r="R332" s="682">
        <v>1</v>
      </c>
      <c r="S332" s="361" t="s">
        <v>1518</v>
      </c>
      <c r="T332" s="361">
        <v>1</v>
      </c>
      <c r="U332" s="119">
        <v>197.5</v>
      </c>
      <c r="V332" s="120" t="s">
        <v>1519</v>
      </c>
      <c r="W332" s="115" t="s">
        <v>1071</v>
      </c>
      <c r="X332" s="115" t="s">
        <v>1154</v>
      </c>
    </row>
    <row r="333" spans="1:26" s="115" customFormat="1" ht="12" customHeight="1">
      <c r="A333" s="355" t="s">
        <v>1062</v>
      </c>
      <c r="B333" s="355" t="s">
        <v>1063</v>
      </c>
      <c r="C333" s="357">
        <v>43239</v>
      </c>
      <c r="D333" s="357">
        <v>43246</v>
      </c>
      <c r="E333" s="355" t="s">
        <v>1064</v>
      </c>
      <c r="F333" s="355"/>
      <c r="G333" s="358" t="s">
        <v>1065</v>
      </c>
      <c r="H333" s="355" t="s">
        <v>54</v>
      </c>
      <c r="I333" s="355" t="s">
        <v>54</v>
      </c>
      <c r="J333" s="355" t="s">
        <v>19</v>
      </c>
      <c r="K333" s="355" t="s">
        <v>1067</v>
      </c>
      <c r="L333" s="355" t="s">
        <v>1066</v>
      </c>
      <c r="M333" s="355"/>
      <c r="N333" s="362" t="s">
        <v>1068</v>
      </c>
      <c r="O333" s="1036">
        <v>990</v>
      </c>
      <c r="P333" s="355"/>
      <c r="Q333" s="355" t="s">
        <v>1808</v>
      </c>
      <c r="R333" s="891">
        <v>1</v>
      </c>
      <c r="S333" s="358" t="s">
        <v>1518</v>
      </c>
      <c r="T333" s="358">
        <v>1</v>
      </c>
      <c r="U333" s="356" t="s">
        <v>1832</v>
      </c>
      <c r="V333" s="360">
        <v>43041</v>
      </c>
      <c r="W333" s="355" t="s">
        <v>1519</v>
      </c>
      <c r="X333" s="355" t="s">
        <v>1154</v>
      </c>
      <c r="Y333" s="355"/>
      <c r="Z333" s="355"/>
    </row>
    <row r="334" spans="1:26" s="115" customFormat="1" ht="12" customHeight="1">
      <c r="A334" s="355" t="s">
        <v>1062</v>
      </c>
      <c r="B334" s="355" t="s">
        <v>1063</v>
      </c>
      <c r="C334" s="357">
        <v>43610</v>
      </c>
      <c r="D334" s="357">
        <v>43617</v>
      </c>
      <c r="E334" s="355" t="s">
        <v>1064</v>
      </c>
      <c r="F334" s="355"/>
      <c r="G334" s="358" t="s">
        <v>1065</v>
      </c>
      <c r="H334" s="355" t="s">
        <v>54</v>
      </c>
      <c r="I334" s="355" t="s">
        <v>54</v>
      </c>
      <c r="J334" s="355" t="s">
        <v>19</v>
      </c>
      <c r="K334" s="355" t="s">
        <v>1067</v>
      </c>
      <c r="L334" s="355" t="s">
        <v>1066</v>
      </c>
      <c r="M334" s="355"/>
      <c r="N334" s="362" t="s">
        <v>1068</v>
      </c>
      <c r="O334" s="1036">
        <v>1090</v>
      </c>
      <c r="P334" s="355"/>
      <c r="Q334" s="355" t="s">
        <v>1808</v>
      </c>
      <c r="R334" s="891">
        <v>1</v>
      </c>
      <c r="S334" s="358" t="s">
        <v>1518</v>
      </c>
      <c r="T334" s="358">
        <v>1</v>
      </c>
      <c r="U334" s="356" t="s">
        <v>1832</v>
      </c>
      <c r="V334" s="360">
        <v>43041</v>
      </c>
      <c r="W334" s="355" t="s">
        <v>1519</v>
      </c>
      <c r="X334" s="355" t="s">
        <v>1154</v>
      </c>
      <c r="Y334" s="355"/>
      <c r="Z334" s="355"/>
    </row>
    <row r="335" spans="1:26" s="115" customFormat="1" ht="12" customHeight="1">
      <c r="A335" s="61" t="s">
        <v>745</v>
      </c>
      <c r="B335" s="61" t="s">
        <v>746</v>
      </c>
      <c r="C335" s="62">
        <v>40727</v>
      </c>
      <c r="D335" s="62">
        <v>40740</v>
      </c>
      <c r="E335" s="61" t="s">
        <v>747</v>
      </c>
      <c r="F335" s="61"/>
      <c r="G335" s="802" t="s">
        <v>748</v>
      </c>
      <c r="H335" s="61" t="s">
        <v>456</v>
      </c>
      <c r="I335" s="61" t="s">
        <v>168</v>
      </c>
      <c r="J335" s="61" t="s">
        <v>19</v>
      </c>
      <c r="K335" s="61" t="s">
        <v>750</v>
      </c>
      <c r="L335" s="61" t="s">
        <v>749</v>
      </c>
      <c r="M335" s="61"/>
      <c r="N335" s="107"/>
      <c r="O335" s="1022">
        <v>2480</v>
      </c>
      <c r="P335" s="61"/>
      <c r="Q335" s="61" t="s">
        <v>779</v>
      </c>
      <c r="R335" s="882">
        <v>2</v>
      </c>
      <c r="S335" s="802">
        <v>3</v>
      </c>
      <c r="T335" s="802">
        <v>1</v>
      </c>
      <c r="U335" s="65">
        <f>O335/4</f>
        <v>620</v>
      </c>
      <c r="V335" s="1601"/>
      <c r="W335" s="61"/>
      <c r="X335" s="61"/>
      <c r="Y335" s="61"/>
      <c r="Z335" s="61"/>
    </row>
    <row r="336" spans="1:26" s="115" customFormat="1" ht="12" customHeight="1">
      <c r="A336" s="21" t="s">
        <v>519</v>
      </c>
      <c r="B336" s="21" t="s">
        <v>520</v>
      </c>
      <c r="C336" s="30">
        <v>40040</v>
      </c>
      <c r="D336" s="30">
        <v>40047</v>
      </c>
      <c r="E336" s="21" t="s">
        <v>521</v>
      </c>
      <c r="F336" s="21"/>
      <c r="G336" s="764">
        <v>78670</v>
      </c>
      <c r="H336" s="21" t="s">
        <v>522</v>
      </c>
      <c r="I336" s="21" t="s">
        <v>23</v>
      </c>
      <c r="J336" s="21" t="s">
        <v>19</v>
      </c>
      <c r="K336" s="21" t="s">
        <v>523</v>
      </c>
      <c r="L336" s="21" t="s">
        <v>524</v>
      </c>
      <c r="M336" s="21"/>
      <c r="N336" s="50" t="s">
        <v>525</v>
      </c>
      <c r="O336" s="1013">
        <f>1490+42+70</f>
        <v>1602</v>
      </c>
      <c r="P336" s="21"/>
      <c r="Q336" s="21" t="s">
        <v>526</v>
      </c>
      <c r="R336" s="876">
        <v>1</v>
      </c>
      <c r="S336" s="764">
        <v>5</v>
      </c>
      <c r="T336" s="764">
        <v>2</v>
      </c>
      <c r="U336" s="43">
        <v>400</v>
      </c>
      <c r="V336" s="78"/>
      <c r="W336" s="21"/>
      <c r="X336" s="21"/>
      <c r="Y336" s="21"/>
      <c r="Z336" s="21"/>
    </row>
    <row r="337" spans="1:26" s="832" customFormat="1" ht="12" customHeight="1">
      <c r="A337" s="21" t="s">
        <v>1091</v>
      </c>
      <c r="B337" s="21" t="s">
        <v>1089</v>
      </c>
      <c r="C337" s="30">
        <v>41531</v>
      </c>
      <c r="D337" s="30">
        <v>41545</v>
      </c>
      <c r="E337" s="21" t="s">
        <v>1090</v>
      </c>
      <c r="F337" s="21"/>
      <c r="G337" s="764" t="s">
        <v>1093</v>
      </c>
      <c r="H337" s="21" t="s">
        <v>1092</v>
      </c>
      <c r="I337" s="21" t="s">
        <v>18</v>
      </c>
      <c r="J337" s="21" t="s">
        <v>19</v>
      </c>
      <c r="K337" s="21" t="s">
        <v>1094</v>
      </c>
      <c r="L337" s="21" t="s">
        <v>1095</v>
      </c>
      <c r="M337" s="21"/>
      <c r="N337" s="50" t="s">
        <v>1096</v>
      </c>
      <c r="O337" s="1013">
        <f>2000+70+42</f>
        <v>2112</v>
      </c>
      <c r="P337" s="21"/>
      <c r="Q337" s="21" t="s">
        <v>1025</v>
      </c>
      <c r="R337" s="876">
        <v>2</v>
      </c>
      <c r="S337" s="764" t="s">
        <v>1025</v>
      </c>
      <c r="T337" s="764">
        <v>1</v>
      </c>
      <c r="U337" s="75">
        <v>500</v>
      </c>
      <c r="V337" s="78">
        <v>41326</v>
      </c>
      <c r="W337" s="21" t="s">
        <v>1052</v>
      </c>
      <c r="X337" s="21"/>
      <c r="Y337" s="21"/>
      <c r="Z337" s="21"/>
    </row>
    <row r="338" spans="1:26" s="115" customFormat="1" ht="12" customHeight="1">
      <c r="A338" s="21" t="s">
        <v>1097</v>
      </c>
      <c r="B338" s="21" t="s">
        <v>1098</v>
      </c>
      <c r="C338" s="30">
        <v>41482</v>
      </c>
      <c r="D338" s="30">
        <v>41489</v>
      </c>
      <c r="E338" s="21" t="s">
        <v>1102</v>
      </c>
      <c r="F338" s="21"/>
      <c r="G338" s="764" t="s">
        <v>1103</v>
      </c>
      <c r="H338" s="21" t="s">
        <v>1104</v>
      </c>
      <c r="I338" s="21" t="s">
        <v>36</v>
      </c>
      <c r="J338" s="21" t="s">
        <v>19</v>
      </c>
      <c r="K338" s="21" t="s">
        <v>1105</v>
      </c>
      <c r="L338" s="21" t="s">
        <v>2592</v>
      </c>
      <c r="M338" s="21"/>
      <c r="N338" s="50" t="s">
        <v>1099</v>
      </c>
      <c r="O338" s="1013">
        <v>1990</v>
      </c>
      <c r="P338" s="21"/>
      <c r="Q338" s="21" t="s">
        <v>1101</v>
      </c>
      <c r="R338" s="876">
        <v>1</v>
      </c>
      <c r="S338" s="764">
        <v>3</v>
      </c>
      <c r="T338" s="764">
        <v>0</v>
      </c>
      <c r="U338" s="75">
        <v>500</v>
      </c>
      <c r="V338" s="78">
        <v>41331</v>
      </c>
      <c r="W338" s="21" t="s">
        <v>1081</v>
      </c>
      <c r="X338" s="21"/>
      <c r="Y338" s="21"/>
      <c r="Z338" s="21"/>
    </row>
    <row r="339" spans="1:26" s="838" customFormat="1" ht="12" customHeight="1">
      <c r="A339" s="21" t="s">
        <v>474</v>
      </c>
      <c r="B339" s="21" t="s">
        <v>473</v>
      </c>
      <c r="C339" s="30">
        <v>39746</v>
      </c>
      <c r="D339" s="30">
        <v>39753</v>
      </c>
      <c r="E339" s="21"/>
      <c r="F339" s="21"/>
      <c r="G339" s="764"/>
      <c r="H339" s="21"/>
      <c r="I339" s="21" t="s">
        <v>23</v>
      </c>
      <c r="J339" s="21" t="s">
        <v>19</v>
      </c>
      <c r="K339" s="21" t="s">
        <v>475</v>
      </c>
      <c r="L339" s="21"/>
      <c r="M339" s="21" t="s">
        <v>476</v>
      </c>
      <c r="N339" s="50" t="s">
        <v>472</v>
      </c>
      <c r="O339" s="1013">
        <v>800</v>
      </c>
      <c r="P339" s="21"/>
      <c r="Q339" s="21"/>
      <c r="R339" s="876">
        <v>1</v>
      </c>
      <c r="S339" s="764">
        <v>4</v>
      </c>
      <c r="T339" s="764">
        <v>1</v>
      </c>
      <c r="U339" s="23">
        <v>200</v>
      </c>
      <c r="V339" s="78"/>
      <c r="W339" s="21"/>
      <c r="X339" s="21"/>
      <c r="Y339" s="21"/>
      <c r="Z339" s="21"/>
    </row>
    <row r="340" spans="1:26" s="845" customFormat="1" ht="12" customHeight="1">
      <c r="A340" s="115" t="s">
        <v>3064</v>
      </c>
      <c r="B340" s="115" t="s">
        <v>3065</v>
      </c>
      <c r="C340" s="116">
        <v>44556</v>
      </c>
      <c r="D340" s="116">
        <v>44563</v>
      </c>
      <c r="E340" s="115" t="s">
        <v>3066</v>
      </c>
      <c r="F340" s="115"/>
      <c r="G340" s="361" t="s">
        <v>3067</v>
      </c>
      <c r="H340" s="115" t="s">
        <v>3068</v>
      </c>
      <c r="I340" s="115" t="s">
        <v>168</v>
      </c>
      <c r="J340" s="115" t="s">
        <v>19</v>
      </c>
      <c r="K340" s="115"/>
      <c r="L340" s="115" t="s">
        <v>3069</v>
      </c>
      <c r="M340" s="115"/>
      <c r="N340" s="128" t="s">
        <v>3070</v>
      </c>
      <c r="O340" s="1027">
        <f>U340</f>
        <v>1359.51</v>
      </c>
      <c r="P340" s="115">
        <v>4</v>
      </c>
      <c r="Q340" s="115" t="s">
        <v>1401</v>
      </c>
      <c r="R340" s="682">
        <v>1</v>
      </c>
      <c r="S340" s="361">
        <v>4</v>
      </c>
      <c r="T340" s="361"/>
      <c r="U340" s="119">
        <f>298.2+24.35+1036.96</f>
        <v>1359.51</v>
      </c>
      <c r="V340" s="120">
        <v>44494</v>
      </c>
      <c r="W340" s="115"/>
      <c r="X340" s="115" t="s">
        <v>1154</v>
      </c>
      <c r="Y340" s="115"/>
      <c r="Z340" s="115"/>
    </row>
    <row r="341" spans="1:26" s="832" customFormat="1" ht="12" customHeight="1">
      <c r="A341" s="21" t="s">
        <v>1228</v>
      </c>
      <c r="B341" s="21" t="s">
        <v>1229</v>
      </c>
      <c r="C341" s="30">
        <v>41888</v>
      </c>
      <c r="D341" s="30">
        <v>41895</v>
      </c>
      <c r="E341" s="21" t="s">
        <v>1230</v>
      </c>
      <c r="F341" s="21"/>
      <c r="G341" s="764" t="s">
        <v>1231</v>
      </c>
      <c r="H341" s="21" t="s">
        <v>1232</v>
      </c>
      <c r="I341" s="21" t="s">
        <v>36</v>
      </c>
      <c r="J341" s="21" t="s">
        <v>19</v>
      </c>
      <c r="K341" s="21"/>
      <c r="L341" s="21" t="s">
        <v>1233</v>
      </c>
      <c r="M341" s="21"/>
      <c r="N341" s="50" t="s">
        <v>1234</v>
      </c>
      <c r="O341" s="1013">
        <v>1190</v>
      </c>
      <c r="P341" s="21"/>
      <c r="Q341" s="21" t="s">
        <v>1235</v>
      </c>
      <c r="R341" s="876">
        <v>1</v>
      </c>
      <c r="S341" s="764"/>
      <c r="T341" s="764">
        <v>0</v>
      </c>
      <c r="U341" s="75">
        <f>300</f>
        <v>300</v>
      </c>
      <c r="V341" s="78">
        <v>41659</v>
      </c>
      <c r="W341" s="21"/>
      <c r="X341" s="21" t="s">
        <v>1154</v>
      </c>
      <c r="Y341" s="21"/>
      <c r="Z341" s="21"/>
    </row>
    <row r="342" spans="1:26" s="115" customFormat="1" ht="12" customHeight="1">
      <c r="A342" s="21" t="s">
        <v>961</v>
      </c>
      <c r="B342" s="21" t="s">
        <v>962</v>
      </c>
      <c r="C342" s="30">
        <v>41279</v>
      </c>
      <c r="D342" s="30">
        <v>41289</v>
      </c>
      <c r="E342" s="21" t="s">
        <v>963</v>
      </c>
      <c r="F342" s="21"/>
      <c r="G342" s="764">
        <v>13810</v>
      </c>
      <c r="H342" s="21" t="s">
        <v>964</v>
      </c>
      <c r="I342" s="21" t="s">
        <v>23</v>
      </c>
      <c r="J342" s="21" t="s">
        <v>19</v>
      </c>
      <c r="K342" s="21" t="s">
        <v>965</v>
      </c>
      <c r="L342" s="21" t="s">
        <v>966</v>
      </c>
      <c r="M342" s="21"/>
      <c r="N342" s="50" t="s">
        <v>967</v>
      </c>
      <c r="O342" s="1013">
        <f>990+70+60</f>
        <v>1120</v>
      </c>
      <c r="P342" s="21"/>
      <c r="Q342" s="21" t="s">
        <v>968</v>
      </c>
      <c r="R342" s="876">
        <v>2</v>
      </c>
      <c r="S342" s="764" t="s">
        <v>969</v>
      </c>
      <c r="T342" s="764">
        <v>2</v>
      </c>
      <c r="U342" s="75">
        <v>250</v>
      </c>
      <c r="V342" s="78">
        <v>41105</v>
      </c>
      <c r="W342" s="21"/>
      <c r="X342" s="21"/>
      <c r="Y342" s="21"/>
      <c r="Z342" s="21"/>
    </row>
    <row r="343" spans="1:26" s="408" customFormat="1" ht="12" customHeight="1">
      <c r="A343" s="21" t="s">
        <v>846</v>
      </c>
      <c r="B343" s="21" t="s">
        <v>847</v>
      </c>
      <c r="C343" s="30">
        <v>41055</v>
      </c>
      <c r="D343" s="30">
        <v>41062</v>
      </c>
      <c r="E343" s="21" t="s">
        <v>848</v>
      </c>
      <c r="F343" s="21"/>
      <c r="G343" s="764" t="s">
        <v>849</v>
      </c>
      <c r="H343" s="21" t="s">
        <v>850</v>
      </c>
      <c r="I343" s="21" t="s">
        <v>54</v>
      </c>
      <c r="J343" s="21" t="s">
        <v>19</v>
      </c>
      <c r="K343" s="21"/>
      <c r="L343" s="21" t="s">
        <v>851</v>
      </c>
      <c r="M343" s="21"/>
      <c r="N343" s="50" t="s">
        <v>852</v>
      </c>
      <c r="O343" s="1013">
        <f>890</f>
        <v>890</v>
      </c>
      <c r="P343" s="21"/>
      <c r="Q343" s="21" t="s">
        <v>853</v>
      </c>
      <c r="R343" s="876">
        <v>1</v>
      </c>
      <c r="S343" s="764">
        <v>6</v>
      </c>
      <c r="T343" s="764"/>
      <c r="U343" s="75">
        <v>250</v>
      </c>
      <c r="V343" s="78">
        <v>40940</v>
      </c>
      <c r="W343" s="21" t="s">
        <v>865</v>
      </c>
      <c r="X343" s="21"/>
      <c r="Y343" s="21"/>
      <c r="Z343" s="21"/>
    </row>
    <row r="344" spans="1:26" s="115" customFormat="1" ht="12" customHeight="1">
      <c r="A344" s="21" t="s">
        <v>640</v>
      </c>
      <c r="B344" s="21" t="s">
        <v>641</v>
      </c>
      <c r="C344" s="30">
        <v>40299</v>
      </c>
      <c r="D344" s="30">
        <v>40303</v>
      </c>
      <c r="E344" s="21"/>
      <c r="F344" s="21"/>
      <c r="G344" s="764"/>
      <c r="H344" s="21"/>
      <c r="I344" s="21" t="s">
        <v>642</v>
      </c>
      <c r="J344" s="21" t="s">
        <v>19</v>
      </c>
      <c r="K344" s="21"/>
      <c r="L344" s="21"/>
      <c r="M344" s="21"/>
      <c r="N344" s="51"/>
      <c r="O344" s="1013">
        <v>600</v>
      </c>
      <c r="P344" s="21"/>
      <c r="Q344" s="21"/>
      <c r="R344" s="876">
        <v>1</v>
      </c>
      <c r="S344" s="764">
        <v>8</v>
      </c>
      <c r="T344" s="764">
        <v>0</v>
      </c>
      <c r="U344" s="48"/>
      <c r="V344" s="78"/>
      <c r="W344" s="21"/>
      <c r="X344" s="21"/>
      <c r="Y344" s="21"/>
      <c r="Z344" s="21"/>
    </row>
    <row r="345" spans="1:26" s="21" customFormat="1" ht="12" customHeight="1">
      <c r="A345" s="21" t="s">
        <v>1385</v>
      </c>
      <c r="B345" s="21" t="s">
        <v>1384</v>
      </c>
      <c r="C345" s="30">
        <v>42133</v>
      </c>
      <c r="D345" s="30">
        <v>42147</v>
      </c>
      <c r="E345" s="21" t="s">
        <v>1386</v>
      </c>
      <c r="G345" s="764"/>
      <c r="H345" s="21" t="s">
        <v>1387</v>
      </c>
      <c r="I345" s="21" t="s">
        <v>884</v>
      </c>
      <c r="J345" s="21" t="s">
        <v>180</v>
      </c>
      <c r="L345" s="21" t="s">
        <v>1388</v>
      </c>
      <c r="N345" s="50" t="s">
        <v>1389</v>
      </c>
      <c r="O345" s="1013">
        <f>790+790+3*4*14</f>
        <v>1748</v>
      </c>
      <c r="Q345" s="21" t="s">
        <v>1390</v>
      </c>
      <c r="R345" s="876">
        <v>2</v>
      </c>
      <c r="S345" s="764" t="s">
        <v>1300</v>
      </c>
      <c r="T345" s="764">
        <v>3</v>
      </c>
      <c r="U345" s="75">
        <v>395</v>
      </c>
      <c r="V345" s="78">
        <v>42011</v>
      </c>
      <c r="W345" s="21" t="s">
        <v>1329</v>
      </c>
    </row>
    <row r="346" spans="1:26" s="21" customFormat="1" ht="12" customHeight="1">
      <c r="A346" s="21" t="s">
        <v>1218</v>
      </c>
      <c r="B346" s="21" t="s">
        <v>1219</v>
      </c>
      <c r="C346" s="30">
        <v>41909</v>
      </c>
      <c r="D346" s="30">
        <v>41916</v>
      </c>
      <c r="E346" s="21" t="s">
        <v>1220</v>
      </c>
      <c r="G346" s="764" t="s">
        <v>1221</v>
      </c>
      <c r="H346" s="21" t="s">
        <v>1222</v>
      </c>
      <c r="I346" s="21" t="s">
        <v>1223</v>
      </c>
      <c r="J346" s="21" t="s">
        <v>180</v>
      </c>
      <c r="K346" s="21" t="s">
        <v>1224</v>
      </c>
      <c r="L346" s="21" t="s">
        <v>1225</v>
      </c>
      <c r="N346" s="50"/>
      <c r="O346" s="1013">
        <f>990+42</f>
        <v>1032</v>
      </c>
      <c r="Q346" s="21" t="s">
        <v>1192</v>
      </c>
      <c r="R346" s="876">
        <v>1</v>
      </c>
      <c r="S346" s="764">
        <v>2</v>
      </c>
      <c r="T346" s="764">
        <v>2</v>
      </c>
      <c r="U346" s="75">
        <v>250</v>
      </c>
      <c r="V346" s="78">
        <v>41660</v>
      </c>
      <c r="W346" s="21" t="s">
        <v>1227</v>
      </c>
      <c r="X346" s="21" t="s">
        <v>1154</v>
      </c>
    </row>
    <row r="347" spans="1:26" s="21" customFormat="1" ht="12" customHeight="1">
      <c r="A347" s="115" t="s">
        <v>1556</v>
      </c>
      <c r="B347" s="115" t="s">
        <v>1557</v>
      </c>
      <c r="C347" s="116">
        <v>42595</v>
      </c>
      <c r="D347" s="116">
        <v>42602</v>
      </c>
      <c r="E347" s="115" t="s">
        <v>1558</v>
      </c>
      <c r="F347" s="115"/>
      <c r="G347" s="361" t="s">
        <v>1559</v>
      </c>
      <c r="H347" s="115" t="s">
        <v>1560</v>
      </c>
      <c r="I347" s="115" t="s">
        <v>1561</v>
      </c>
      <c r="J347" s="115" t="s">
        <v>180</v>
      </c>
      <c r="K347" s="115"/>
      <c r="L347" s="115" t="s">
        <v>1430</v>
      </c>
      <c r="M347" s="115"/>
      <c r="N347" s="128" t="s">
        <v>1712</v>
      </c>
      <c r="O347" s="1027">
        <f>1990+20</f>
        <v>2010</v>
      </c>
      <c r="P347" s="115"/>
      <c r="Q347" s="115" t="s">
        <v>1563</v>
      </c>
      <c r="R347" s="682">
        <v>1</v>
      </c>
      <c r="S347" s="361" t="s">
        <v>1564</v>
      </c>
      <c r="T347" s="361">
        <v>1</v>
      </c>
      <c r="U347" s="119">
        <v>500</v>
      </c>
      <c r="V347" s="120">
        <v>42451</v>
      </c>
      <c r="W347" s="115" t="s">
        <v>1565</v>
      </c>
      <c r="X347" s="115" t="s">
        <v>1154</v>
      </c>
      <c r="Y347" s="115"/>
      <c r="Z347" s="115"/>
    </row>
    <row r="348" spans="1:26" ht="12" customHeight="1">
      <c r="A348" s="355" t="s">
        <v>1556</v>
      </c>
      <c r="B348" s="355" t="s">
        <v>1557</v>
      </c>
      <c r="C348" s="357">
        <v>43302</v>
      </c>
      <c r="D348" s="357">
        <v>43309</v>
      </c>
      <c r="E348" s="355" t="s">
        <v>1558</v>
      </c>
      <c r="F348" s="355"/>
      <c r="G348" s="358" t="s">
        <v>1559</v>
      </c>
      <c r="H348" s="355" t="s">
        <v>1560</v>
      </c>
      <c r="I348" s="355" t="s">
        <v>1561</v>
      </c>
      <c r="J348" s="355" t="s">
        <v>180</v>
      </c>
      <c r="K348" s="355"/>
      <c r="L348" s="355" t="s">
        <v>1430</v>
      </c>
      <c r="M348" s="355"/>
      <c r="N348" s="365" t="s">
        <v>1562</v>
      </c>
      <c r="O348" s="1036">
        <v>1990</v>
      </c>
      <c r="P348" s="355"/>
      <c r="Q348" s="355" t="s">
        <v>1563</v>
      </c>
      <c r="R348" s="891">
        <v>1</v>
      </c>
      <c r="S348" s="358" t="s">
        <v>1564</v>
      </c>
      <c r="T348" s="358">
        <v>1</v>
      </c>
      <c r="U348" s="356"/>
      <c r="V348" s="360">
        <v>43153</v>
      </c>
      <c r="W348" s="355" t="s">
        <v>1911</v>
      </c>
      <c r="X348" s="355" t="s">
        <v>1154</v>
      </c>
      <c r="Y348" s="355"/>
      <c r="Z348" s="355"/>
    </row>
    <row r="349" spans="1:26" ht="12" customHeight="1">
      <c r="A349" s="21" t="s">
        <v>1427</v>
      </c>
      <c r="B349" s="21" t="s">
        <v>1428</v>
      </c>
      <c r="C349" s="30">
        <v>42210</v>
      </c>
      <c r="D349" s="30">
        <v>42217</v>
      </c>
      <c r="E349" s="21" t="s">
        <v>1429</v>
      </c>
      <c r="F349" s="21"/>
      <c r="G349" s="764"/>
      <c r="H349" s="21"/>
      <c r="I349" s="21" t="s">
        <v>884</v>
      </c>
      <c r="J349" s="21" t="s">
        <v>180</v>
      </c>
      <c r="K349" s="21"/>
      <c r="L349" s="21" t="s">
        <v>1430</v>
      </c>
      <c r="M349" s="21"/>
      <c r="N349" s="50" t="s">
        <v>1431</v>
      </c>
      <c r="O349" s="1013">
        <v>1990</v>
      </c>
      <c r="P349" s="21"/>
      <c r="Q349" s="21" t="s">
        <v>1432</v>
      </c>
      <c r="R349" s="876">
        <v>1</v>
      </c>
      <c r="S349" s="764">
        <v>4</v>
      </c>
      <c r="T349" s="764">
        <v>1</v>
      </c>
      <c r="U349" s="75">
        <v>500</v>
      </c>
      <c r="V349" s="78">
        <v>42085</v>
      </c>
      <c r="W349" s="21"/>
      <c r="X349" s="21" t="s">
        <v>1154</v>
      </c>
      <c r="Y349" s="21"/>
      <c r="Z349" s="21"/>
    </row>
    <row r="350" spans="1:26" ht="12" customHeight="1">
      <c r="A350" s="21" t="s">
        <v>775</v>
      </c>
      <c r="B350" s="21" t="s">
        <v>829</v>
      </c>
      <c r="C350" s="30">
        <v>41097</v>
      </c>
      <c r="D350" s="30">
        <v>41118</v>
      </c>
      <c r="E350" s="21" t="s">
        <v>773</v>
      </c>
      <c r="F350" s="21"/>
      <c r="G350" s="764" t="s">
        <v>774</v>
      </c>
      <c r="H350" s="21" t="s">
        <v>772</v>
      </c>
      <c r="I350" s="21" t="s">
        <v>168</v>
      </c>
      <c r="J350" s="21" t="s">
        <v>180</v>
      </c>
      <c r="K350" s="21"/>
      <c r="L350" s="21" t="s">
        <v>777</v>
      </c>
      <c r="M350" s="21"/>
      <c r="N350" s="50" t="s">
        <v>776</v>
      </c>
      <c r="O350" s="1013">
        <f>1390+1790+2000</f>
        <v>5180</v>
      </c>
      <c r="P350" s="21"/>
      <c r="Q350" s="21" t="s">
        <v>778</v>
      </c>
      <c r="R350" s="876">
        <v>3</v>
      </c>
      <c r="S350" s="764">
        <v>6</v>
      </c>
      <c r="T350" s="764"/>
      <c r="U350" s="75">
        <f>O350/4</f>
        <v>1295</v>
      </c>
      <c r="V350" s="78"/>
      <c r="W350" s="21"/>
      <c r="X350" s="21"/>
      <c r="Y350" s="21"/>
      <c r="Z350" s="21"/>
    </row>
    <row r="351" spans="1:26" ht="12" customHeight="1">
      <c r="A351" s="115" t="s">
        <v>775</v>
      </c>
      <c r="B351" s="115" t="s">
        <v>829</v>
      </c>
      <c r="C351" s="116">
        <v>42924</v>
      </c>
      <c r="D351" s="116">
        <v>42938</v>
      </c>
      <c r="E351" s="115" t="s">
        <v>773</v>
      </c>
      <c r="F351" s="115"/>
      <c r="G351" s="361" t="s">
        <v>774</v>
      </c>
      <c r="H351" s="115" t="s">
        <v>772</v>
      </c>
      <c r="I351" s="115" t="s">
        <v>168</v>
      </c>
      <c r="J351" s="115" t="s">
        <v>180</v>
      </c>
      <c r="K351" s="115" t="s">
        <v>1578</v>
      </c>
      <c r="L351" s="115" t="s">
        <v>777</v>
      </c>
      <c r="M351" s="115"/>
      <c r="N351" s="128" t="s">
        <v>1577</v>
      </c>
      <c r="O351" s="1027">
        <f>945*4</f>
        <v>3780</v>
      </c>
      <c r="P351" s="115"/>
      <c r="Q351" s="115" t="s">
        <v>1579</v>
      </c>
      <c r="R351" s="682">
        <v>2</v>
      </c>
      <c r="S351" s="361">
        <v>5</v>
      </c>
      <c r="T351" s="361"/>
      <c r="U351" s="119">
        <f>O351/4</f>
        <v>945</v>
      </c>
      <c r="V351" s="120" t="s">
        <v>1170</v>
      </c>
      <c r="W351" s="115"/>
      <c r="X351" s="115"/>
      <c r="Y351" s="115"/>
      <c r="Z351" s="115"/>
    </row>
    <row r="352" spans="1:26" ht="12" customHeight="1">
      <c r="A352" s="21" t="s">
        <v>362</v>
      </c>
      <c r="B352" s="21" t="s">
        <v>363</v>
      </c>
      <c r="C352" s="30">
        <v>39523</v>
      </c>
      <c r="D352" s="30">
        <v>39540</v>
      </c>
      <c r="E352" s="21" t="s">
        <v>369</v>
      </c>
      <c r="F352" s="21"/>
      <c r="G352" s="764">
        <v>4085</v>
      </c>
      <c r="H352" s="21" t="s">
        <v>367</v>
      </c>
      <c r="I352" s="21" t="s">
        <v>365</v>
      </c>
      <c r="J352" s="21" t="s">
        <v>180</v>
      </c>
      <c r="K352" s="21" t="s">
        <v>368</v>
      </c>
      <c r="L352" s="21" t="s">
        <v>364</v>
      </c>
      <c r="M352" s="765"/>
      <c r="N352" s="50" t="s">
        <v>366</v>
      </c>
      <c r="O352" s="1013">
        <v>1400</v>
      </c>
      <c r="P352" s="21"/>
      <c r="Q352" s="21"/>
      <c r="R352" s="876">
        <v>2</v>
      </c>
      <c r="S352" s="764">
        <v>5</v>
      </c>
      <c r="T352" s="764"/>
      <c r="U352" s="23">
        <v>350</v>
      </c>
      <c r="V352" s="78"/>
      <c r="W352" s="21"/>
      <c r="X352" s="21"/>
      <c r="Y352" s="21"/>
      <c r="Z352" s="21"/>
    </row>
    <row r="353" spans="1:26" ht="12" customHeight="1">
      <c r="A353" s="21" t="s">
        <v>1442</v>
      </c>
      <c r="B353" s="21"/>
      <c r="C353" s="30">
        <v>42203</v>
      </c>
      <c r="D353" s="30">
        <v>42210</v>
      </c>
      <c r="E353" s="21" t="s">
        <v>1443</v>
      </c>
      <c r="F353" s="21"/>
      <c r="G353" s="764" t="s">
        <v>1444</v>
      </c>
      <c r="H353" s="21" t="s">
        <v>1445</v>
      </c>
      <c r="I353" s="21" t="s">
        <v>1446</v>
      </c>
      <c r="J353" s="21" t="s">
        <v>180</v>
      </c>
      <c r="K353" s="21"/>
      <c r="L353" s="21" t="s">
        <v>1447</v>
      </c>
      <c r="M353" s="21"/>
      <c r="N353" s="51" t="s">
        <v>1448</v>
      </c>
      <c r="O353" s="1013">
        <v>1790</v>
      </c>
      <c r="P353" s="21"/>
      <c r="Q353" s="21" t="s">
        <v>1449</v>
      </c>
      <c r="R353" s="876">
        <v>1</v>
      </c>
      <c r="S353" s="764" t="s">
        <v>1362</v>
      </c>
      <c r="T353" s="764">
        <v>0</v>
      </c>
      <c r="U353" s="75">
        <f>1790/4</f>
        <v>447.5</v>
      </c>
      <c r="V353" s="78">
        <v>42158</v>
      </c>
      <c r="W353" s="21" t="s">
        <v>1450</v>
      </c>
      <c r="X353" s="21" t="s">
        <v>1217</v>
      </c>
      <c r="Y353" s="21"/>
      <c r="Z353" s="21"/>
    </row>
    <row r="354" spans="1:26" ht="12" customHeight="1">
      <c r="A354" s="624" t="s">
        <v>234</v>
      </c>
      <c r="U354" s="13"/>
    </row>
    <row r="355" spans="1:26" ht="12" customHeight="1">
      <c r="A355" s="9" t="s">
        <v>361</v>
      </c>
      <c r="B355" s="7"/>
      <c r="C355" s="29"/>
      <c r="D355" s="29"/>
      <c r="E355" s="7"/>
      <c r="F355" s="7"/>
      <c r="G355" s="133"/>
      <c r="H355" s="7"/>
      <c r="I355" s="7"/>
      <c r="J355" s="7"/>
      <c r="K355" s="7"/>
      <c r="L355" s="7"/>
      <c r="M355" s="7"/>
      <c r="N355" s="7"/>
      <c r="O355" s="1012"/>
      <c r="P355" s="7"/>
      <c r="S355" s="133"/>
      <c r="T355" s="133"/>
      <c r="U355" s="784"/>
    </row>
    <row r="356" spans="1:26" ht="12" customHeight="1">
      <c r="A356" s="9" t="s">
        <v>471</v>
      </c>
      <c r="B356" s="7"/>
      <c r="C356" s="29"/>
      <c r="D356" s="29"/>
      <c r="E356" s="7"/>
      <c r="F356" s="7"/>
      <c r="G356" s="133"/>
      <c r="H356" s="7"/>
      <c r="I356" s="7"/>
      <c r="J356" s="7"/>
      <c r="K356" s="7"/>
      <c r="L356" s="7"/>
      <c r="M356" s="7"/>
      <c r="N356" s="7"/>
      <c r="O356" s="1012"/>
      <c r="P356" s="7"/>
      <c r="S356" s="133"/>
      <c r="T356" s="133"/>
      <c r="U356" s="784"/>
    </row>
    <row r="357" spans="1:26" ht="12" customHeight="1">
      <c r="A357" s="9" t="s">
        <v>580</v>
      </c>
      <c r="O357" s="1014"/>
      <c r="U357" s="19"/>
    </row>
    <row r="358" spans="1:26" ht="12" customHeight="1">
      <c r="A358" s="9" t="s">
        <v>675</v>
      </c>
      <c r="B358" s="773"/>
      <c r="C358" s="29"/>
      <c r="D358" s="29"/>
      <c r="E358" s="7"/>
      <c r="F358" s="7"/>
      <c r="G358" s="133"/>
      <c r="H358" s="7"/>
      <c r="I358" s="7"/>
      <c r="J358" s="7"/>
      <c r="K358" s="7"/>
      <c r="L358" s="7"/>
      <c r="M358" s="7"/>
      <c r="N358" s="7"/>
      <c r="O358" s="1012"/>
      <c r="P358" s="7"/>
      <c r="S358" s="133"/>
      <c r="T358" s="133"/>
      <c r="U358" s="784"/>
    </row>
    <row r="359" spans="1:26" ht="12" customHeight="1">
      <c r="A359" s="9" t="s">
        <v>826</v>
      </c>
      <c r="B359" s="773"/>
      <c r="C359" s="29"/>
      <c r="D359" s="29"/>
      <c r="E359" s="7"/>
      <c r="F359" s="7"/>
      <c r="G359" s="133"/>
      <c r="H359" s="7"/>
      <c r="I359" s="7"/>
      <c r="J359" s="7"/>
      <c r="K359" s="7"/>
      <c r="L359" s="7"/>
      <c r="M359" s="7"/>
      <c r="N359" s="7"/>
      <c r="O359" s="1012"/>
      <c r="P359" s="7"/>
      <c r="S359" s="133"/>
      <c r="T359" s="133"/>
      <c r="U359" s="1361"/>
    </row>
    <row r="360" spans="1:26" ht="12" customHeight="1">
      <c r="A360" s="9" t="s">
        <v>952</v>
      </c>
      <c r="B360" s="773"/>
      <c r="C360" s="29"/>
      <c r="D360" s="29"/>
      <c r="E360" s="7"/>
      <c r="F360" s="7"/>
      <c r="G360" s="133"/>
      <c r="H360" s="7"/>
      <c r="I360" s="7"/>
      <c r="J360" s="7"/>
      <c r="K360" s="7"/>
      <c r="L360" s="7"/>
      <c r="M360" s="7"/>
      <c r="N360" s="7"/>
      <c r="O360" s="1012"/>
      <c r="P360" s="7"/>
      <c r="S360" s="133"/>
      <c r="T360" s="133"/>
      <c r="U360" s="1361"/>
    </row>
    <row r="361" spans="1:26" ht="12" customHeight="1">
      <c r="A361" s="624" t="s">
        <v>1156</v>
      </c>
      <c r="B361" s="773"/>
      <c r="C361" s="29"/>
      <c r="D361" s="29"/>
      <c r="E361" s="7"/>
      <c r="F361" s="7"/>
      <c r="G361" s="133"/>
      <c r="H361" s="7"/>
      <c r="I361" s="7"/>
      <c r="J361" s="7"/>
      <c r="K361" s="7"/>
      <c r="L361" s="7"/>
      <c r="M361" s="7"/>
      <c r="N361" s="7"/>
      <c r="O361" s="1012"/>
      <c r="P361" s="7"/>
      <c r="S361" s="133"/>
      <c r="T361" s="133"/>
      <c r="U361" s="1361"/>
    </row>
    <row r="362" spans="1:26" ht="12" customHeight="1">
      <c r="A362" s="9" t="s">
        <v>1302</v>
      </c>
      <c r="B362" s="773"/>
      <c r="C362" s="29"/>
      <c r="D362" s="29"/>
      <c r="E362" s="7"/>
      <c r="F362" s="7"/>
      <c r="G362" s="133"/>
      <c r="H362" s="7"/>
      <c r="I362" s="7"/>
      <c r="J362" s="7"/>
      <c r="K362" s="7"/>
      <c r="L362" s="7"/>
      <c r="M362" s="7"/>
      <c r="N362" s="7"/>
      <c r="O362" s="1012"/>
      <c r="P362" s="7"/>
      <c r="S362" s="133"/>
      <c r="T362" s="133"/>
      <c r="U362" s="1361"/>
    </row>
    <row r="363" spans="1:26" ht="12" customHeight="1">
      <c r="A363" s="9" t="s">
        <v>1461</v>
      </c>
      <c r="B363" s="773"/>
      <c r="C363" s="29"/>
      <c r="D363" s="29"/>
      <c r="E363" s="7"/>
      <c r="F363" s="7"/>
      <c r="G363" s="133"/>
      <c r="H363" s="7"/>
      <c r="I363" s="7"/>
      <c r="J363" s="7"/>
      <c r="K363" s="7"/>
      <c r="L363" s="7"/>
      <c r="M363" s="7"/>
      <c r="N363" s="7"/>
      <c r="O363" s="1012"/>
      <c r="P363" s="7"/>
      <c r="S363" s="133"/>
      <c r="T363" s="133"/>
      <c r="U363" s="1361"/>
    </row>
    <row r="364" spans="1:26" ht="12" customHeight="1">
      <c r="A364" s="9" t="s">
        <v>1575</v>
      </c>
      <c r="B364" s="856"/>
      <c r="C364" s="856"/>
      <c r="D364" s="856"/>
      <c r="E364" s="856"/>
      <c r="F364" s="856"/>
      <c r="G364" s="857"/>
      <c r="H364" s="856"/>
      <c r="I364" s="856"/>
      <c r="J364" s="856"/>
      <c r="K364" s="856"/>
      <c r="L364" s="856"/>
      <c r="M364" s="856"/>
      <c r="N364" s="856"/>
      <c r="O364" s="1032"/>
      <c r="P364" s="856"/>
      <c r="Q364" s="856"/>
      <c r="R364" s="890"/>
      <c r="S364" s="857"/>
      <c r="T364" s="857"/>
      <c r="U364" s="1358">
        <f>U373*3</f>
        <v>0</v>
      </c>
      <c r="V364" s="1602"/>
      <c r="W364" s="856"/>
      <c r="X364" s="856"/>
      <c r="Y364" s="856"/>
      <c r="Z364" s="856"/>
    </row>
    <row r="365" spans="1:26" ht="12" customHeight="1">
      <c r="A365" s="9" t="s">
        <v>1762</v>
      </c>
      <c r="B365" s="856"/>
      <c r="C365" s="856"/>
      <c r="D365" s="856"/>
      <c r="E365" s="856"/>
      <c r="F365" s="856"/>
      <c r="G365" s="857"/>
      <c r="H365" s="856"/>
      <c r="I365" s="856"/>
      <c r="J365" s="856"/>
      <c r="K365" s="856"/>
      <c r="L365" s="856"/>
      <c r="M365" s="856"/>
      <c r="N365" s="856"/>
      <c r="O365" s="1032"/>
      <c r="P365" s="856"/>
      <c r="Q365" s="856"/>
      <c r="R365" s="890"/>
      <c r="S365" s="857"/>
      <c r="T365" s="857"/>
      <c r="U365" s="1358"/>
      <c r="V365" s="1602"/>
      <c r="W365" s="856"/>
      <c r="X365" s="856"/>
      <c r="Y365" s="856"/>
      <c r="Z365" s="856"/>
    </row>
    <row r="366" spans="1:26" ht="12" customHeight="1">
      <c r="A366" s="9" t="s">
        <v>1936</v>
      </c>
      <c r="B366" s="856"/>
      <c r="C366" s="856"/>
      <c r="D366" s="856"/>
      <c r="E366" s="856"/>
      <c r="F366" s="856"/>
      <c r="G366" s="857"/>
      <c r="H366" s="856"/>
      <c r="I366" s="856"/>
      <c r="J366" s="856"/>
      <c r="K366" s="856"/>
      <c r="L366" s="856"/>
      <c r="M366" s="856"/>
      <c r="N366" s="856"/>
      <c r="O366" s="1032"/>
      <c r="P366" s="856"/>
      <c r="Q366" s="856"/>
      <c r="R366" s="890"/>
      <c r="S366" s="857"/>
      <c r="T366" s="857"/>
      <c r="U366" s="1358"/>
      <c r="V366" s="1602"/>
      <c r="W366" s="856"/>
      <c r="X366" s="856"/>
      <c r="Y366" s="856"/>
      <c r="Z366" s="856"/>
    </row>
    <row r="367" spans="1:26" ht="12" customHeight="1">
      <c r="A367" s="9" t="s">
        <v>2240</v>
      </c>
      <c r="B367" s="856"/>
      <c r="C367" s="856"/>
      <c r="D367" s="856"/>
      <c r="E367" s="856"/>
      <c r="F367" s="856"/>
      <c r="G367" s="857"/>
      <c r="H367" s="856"/>
      <c r="I367" s="856"/>
      <c r="J367" s="856"/>
      <c r="K367" s="856"/>
      <c r="L367" s="856"/>
      <c r="M367" s="856"/>
      <c r="N367" s="856"/>
      <c r="O367" s="1032"/>
      <c r="P367" s="856"/>
      <c r="Q367" s="856"/>
      <c r="R367" s="890"/>
      <c r="S367" s="857"/>
      <c r="T367" s="857"/>
      <c r="U367" s="1358"/>
      <c r="V367" s="1602"/>
      <c r="W367" s="856"/>
      <c r="X367" s="856"/>
      <c r="Y367" s="856"/>
      <c r="Z367" s="856"/>
    </row>
    <row r="368" spans="1:26" ht="12" customHeight="1">
      <c r="A368" s="7" t="s">
        <v>2546</v>
      </c>
      <c r="B368" s="689" t="s">
        <v>2547</v>
      </c>
      <c r="C368" s="34"/>
      <c r="D368" s="34"/>
      <c r="K368" s="15"/>
      <c r="N368" s="49"/>
      <c r="O368" s="1035"/>
      <c r="U368" s="13"/>
    </row>
    <row r="369" spans="1:26" ht="12" customHeight="1">
      <c r="A369" s="870" t="s">
        <v>3014</v>
      </c>
      <c r="C369" s="34"/>
      <c r="D369" s="34"/>
      <c r="K369" s="15"/>
      <c r="N369" s="49"/>
      <c r="O369" s="1035"/>
      <c r="U369" s="457"/>
    </row>
    <row r="370" spans="1:26" ht="12" customHeight="1" thickBot="1">
      <c r="A370" s="870" t="s">
        <v>3211</v>
      </c>
      <c r="C370" s="34"/>
      <c r="D370" s="34"/>
      <c r="K370" s="15"/>
      <c r="N370" s="49"/>
      <c r="O370" s="1035"/>
      <c r="U370" s="457"/>
    </row>
    <row r="371" spans="1:26" ht="12" customHeight="1" thickBot="1">
      <c r="A371" s="1637" t="s">
        <v>3468</v>
      </c>
      <c r="B371" s="782"/>
      <c r="C371" s="34"/>
      <c r="D371" s="1690"/>
      <c r="E371" s="782"/>
      <c r="K371" s="15"/>
      <c r="N371" s="49"/>
      <c r="O371" s="1035"/>
      <c r="U371" s="457"/>
    </row>
    <row r="372" spans="1:26" ht="12" customHeight="1" thickBot="1">
      <c r="A372" s="768" t="s">
        <v>462</v>
      </c>
      <c r="B372" s="1652">
        <f>SUM(O356:O372)</f>
        <v>0</v>
      </c>
      <c r="C372" s="1294"/>
      <c r="D372" s="654"/>
      <c r="E372" s="13"/>
      <c r="N372" s="49"/>
      <c r="O372" s="1014"/>
      <c r="U372" s="1382"/>
    </row>
    <row r="373" spans="1:26" ht="12" customHeight="1" thickBot="1">
      <c r="A373" s="7" t="s">
        <v>470</v>
      </c>
      <c r="B373" s="1268">
        <f>SUM(O355:O373)</f>
        <v>0</v>
      </c>
      <c r="D373" s="510" t="s">
        <v>574</v>
      </c>
      <c r="E373" s="13"/>
      <c r="N373" s="49"/>
      <c r="O373" s="1014"/>
      <c r="U373" s="1382"/>
    </row>
    <row r="374" spans="1:26" ht="12" customHeight="1" thickBot="1">
      <c r="A374" s="18" t="s">
        <v>643</v>
      </c>
      <c r="B374" s="767">
        <f>SUM(O357:O374)</f>
        <v>0</v>
      </c>
      <c r="D374" s="624" t="s">
        <v>574</v>
      </c>
      <c r="E374" s="13"/>
      <c r="N374" s="49"/>
      <c r="O374" s="1014"/>
      <c r="U374" s="12"/>
    </row>
    <row r="375" spans="1:26" ht="12" customHeight="1" thickBot="1">
      <c r="A375" s="852" t="s">
        <v>676</v>
      </c>
      <c r="B375" s="1670">
        <f>SUM(O354:O375)</f>
        <v>0</v>
      </c>
      <c r="C375" s="804" t="e">
        <f>B375/B342</f>
        <v>#VALUE!</v>
      </c>
      <c r="D375" s="624" t="s">
        <v>574</v>
      </c>
      <c r="E375" s="13"/>
      <c r="F375" s="7"/>
      <c r="G375" s="133"/>
      <c r="H375" s="7"/>
      <c r="I375" s="7"/>
      <c r="J375" s="7"/>
      <c r="K375" s="7"/>
      <c r="L375" s="7"/>
      <c r="M375" s="7"/>
      <c r="N375" s="7"/>
      <c r="O375" s="1012"/>
      <c r="P375" s="7"/>
      <c r="S375" s="133"/>
      <c r="T375" s="133"/>
      <c r="U375" s="7"/>
    </row>
    <row r="376" spans="1:26" ht="12" customHeight="1" thickBot="1">
      <c r="A376" s="510" t="s">
        <v>861</v>
      </c>
      <c r="B376" s="1657">
        <f>SUM(O354:O376)</f>
        <v>0</v>
      </c>
      <c r="C376" s="804" t="e">
        <f>B376/B344</f>
        <v>#VALUE!</v>
      </c>
      <c r="D376" s="1262" t="s">
        <v>574</v>
      </c>
      <c r="E376" s="541"/>
      <c r="F376" s="7"/>
      <c r="G376" s="133"/>
      <c r="H376" s="7"/>
      <c r="I376" s="7"/>
      <c r="J376" s="7"/>
      <c r="K376" s="7"/>
      <c r="L376" s="7"/>
      <c r="M376" s="7"/>
      <c r="N376" s="7"/>
      <c r="O376" s="1012"/>
      <c r="P376" s="7"/>
      <c r="S376" s="133"/>
      <c r="T376" s="133"/>
      <c r="U376" s="74"/>
    </row>
    <row r="377" spans="1:26" ht="12" customHeight="1" thickBot="1">
      <c r="A377" s="768" t="s">
        <v>1143</v>
      </c>
      <c r="B377" s="1652">
        <f>SUM(O343:O377)</f>
        <v>22410</v>
      </c>
      <c r="C377" s="804" t="e">
        <f>B377/B334</f>
        <v>#VALUE!</v>
      </c>
      <c r="D377" s="1262" t="s">
        <v>574</v>
      </c>
      <c r="E377" s="541"/>
      <c r="F377" s="7"/>
      <c r="G377" s="133"/>
      <c r="H377" s="7"/>
      <c r="I377" s="7"/>
      <c r="J377" s="7"/>
      <c r="K377" s="7"/>
      <c r="L377" s="7"/>
      <c r="M377" s="7"/>
      <c r="N377" s="773"/>
      <c r="O377" s="1012"/>
      <c r="P377" s="7"/>
      <c r="S377" s="133"/>
      <c r="T377" s="133"/>
      <c r="U377" s="74"/>
    </row>
    <row r="378" spans="1:26" ht="12" customHeight="1">
      <c r="A378" s="7" t="s">
        <v>1155</v>
      </c>
      <c r="B378" s="1268">
        <f>SUM(O335:O378)</f>
        <v>35063.51</v>
      </c>
      <c r="C378" s="804" t="e">
        <f>B378/B322</f>
        <v>#VALUE!</v>
      </c>
      <c r="D378" s="9" t="s">
        <v>574</v>
      </c>
      <c r="F378" s="7"/>
      <c r="G378" s="133"/>
      <c r="H378" s="7"/>
      <c r="I378" s="7"/>
      <c r="J378" s="7"/>
      <c r="K378" s="7"/>
      <c r="L378" s="7"/>
      <c r="M378" s="7"/>
      <c r="N378" s="7"/>
      <c r="O378" s="1012"/>
      <c r="P378" s="7"/>
      <c r="S378" s="133"/>
      <c r="T378" s="133"/>
      <c r="U378" s="74"/>
    </row>
    <row r="379" spans="1:26" s="856" customFormat="1" ht="12" customHeight="1">
      <c r="A379" s="7" t="s">
        <v>1303</v>
      </c>
      <c r="B379" s="1268">
        <f>SUM(O324:O379)</f>
        <v>53109.509999999995</v>
      </c>
      <c r="C379" s="826" t="e">
        <f>B379/B315</f>
        <v>#VALUE!</v>
      </c>
      <c r="D379" s="9" t="s">
        <v>574</v>
      </c>
      <c r="E379" s="8"/>
      <c r="F379" s="7"/>
      <c r="G379" s="133"/>
      <c r="H379" s="7"/>
      <c r="I379" s="7"/>
      <c r="J379" s="7"/>
      <c r="K379" s="7"/>
      <c r="L379" s="7"/>
      <c r="M379" s="7"/>
      <c r="N379" s="7"/>
      <c r="O379" s="1012"/>
      <c r="P379" s="7"/>
      <c r="Q379" s="8"/>
      <c r="R379" s="685"/>
      <c r="S379" s="133"/>
      <c r="T379" s="133"/>
      <c r="U379" s="74"/>
      <c r="V379" s="86"/>
      <c r="W379" s="8"/>
      <c r="X379" s="8"/>
      <c r="Y379" s="8"/>
      <c r="Z379" s="8"/>
    </row>
    <row r="380" spans="1:26" s="856" customFormat="1" ht="12" customHeight="1">
      <c r="A380" s="7" t="s">
        <v>1574</v>
      </c>
      <c r="B380" s="1268">
        <f>SUM(O321:O380)</f>
        <v>61359.51</v>
      </c>
      <c r="C380" s="826" t="e">
        <f>B380/B314</f>
        <v>#VALUE!</v>
      </c>
      <c r="D380" s="9" t="s">
        <v>574</v>
      </c>
      <c r="E380" s="8"/>
      <c r="F380" s="7"/>
      <c r="G380" s="133"/>
      <c r="H380" s="7"/>
      <c r="I380" s="7"/>
      <c r="J380" s="7"/>
      <c r="K380" s="7"/>
      <c r="L380" s="7"/>
      <c r="M380" s="7"/>
      <c r="N380" s="7"/>
      <c r="O380" s="1012"/>
      <c r="P380" s="7"/>
      <c r="Q380" s="8"/>
      <c r="R380" s="685"/>
      <c r="S380" s="133"/>
      <c r="T380" s="133"/>
      <c r="U380" s="74"/>
      <c r="V380" s="86"/>
      <c r="W380" s="8"/>
      <c r="X380" s="8"/>
      <c r="Y380" s="8"/>
      <c r="Z380" s="8"/>
    </row>
    <row r="381" spans="1:26" s="856" customFormat="1" ht="12" customHeight="1">
      <c r="A381" s="7" t="s">
        <v>1576</v>
      </c>
      <c r="B381" s="1268">
        <f>SUM(O352:O381)</f>
        <v>3190</v>
      </c>
      <c r="C381" s="826" t="e">
        <f>B381/B339</f>
        <v>#VALUE!</v>
      </c>
      <c r="D381" s="9" t="s">
        <v>574</v>
      </c>
      <c r="E381" s="8"/>
      <c r="F381" s="7"/>
      <c r="G381" s="133"/>
      <c r="H381" s="49"/>
      <c r="I381" s="7"/>
      <c r="J381" s="7"/>
      <c r="K381" s="7"/>
      <c r="L381" s="7"/>
      <c r="M381" s="7"/>
      <c r="N381" s="7"/>
      <c r="O381" s="1012"/>
      <c r="P381" s="7"/>
      <c r="Q381" s="8"/>
      <c r="R381" s="685"/>
      <c r="S381" s="133"/>
      <c r="T381" s="133"/>
      <c r="U381" s="74"/>
      <c r="V381" s="86"/>
      <c r="W381" s="8"/>
      <c r="X381" s="8"/>
      <c r="Y381" s="8"/>
      <c r="Z381" s="8"/>
    </row>
    <row r="382" spans="1:26" s="856" customFormat="1" ht="12" customHeight="1">
      <c r="A382" s="7" t="s">
        <v>1763</v>
      </c>
      <c r="B382" s="1268">
        <f>SUM(O358:O380)</f>
        <v>0</v>
      </c>
      <c r="C382" s="826" t="e">
        <f>B382/B347</f>
        <v>#VALUE!</v>
      </c>
      <c r="D382" s="9" t="s">
        <v>574</v>
      </c>
      <c r="E382" s="8"/>
      <c r="F382" s="7"/>
      <c r="G382" s="133"/>
      <c r="H382" s="49"/>
      <c r="I382" s="7"/>
      <c r="J382" s="7"/>
      <c r="K382" s="7"/>
      <c r="L382" s="864"/>
      <c r="M382" s="7"/>
      <c r="N382" s="7"/>
      <c r="O382" s="1012"/>
      <c r="P382" s="7"/>
      <c r="Q382" s="8"/>
      <c r="R382" s="685"/>
      <c r="S382" s="133"/>
      <c r="T382" s="133"/>
      <c r="U382" s="74"/>
      <c r="V382" s="86"/>
      <c r="W382" s="8"/>
      <c r="X382" s="8"/>
      <c r="Y382" s="8"/>
      <c r="Z382" s="8"/>
    </row>
    <row r="383" spans="1:26" s="856" customFormat="1" ht="12" customHeight="1">
      <c r="A383" s="7" t="s">
        <v>2015</v>
      </c>
      <c r="B383" s="1268">
        <f>SUM(O351:O381)</f>
        <v>6970</v>
      </c>
      <c r="C383" s="826" t="e">
        <f>B383/B340</f>
        <v>#VALUE!</v>
      </c>
      <c r="D383" s="9" t="s">
        <v>574</v>
      </c>
      <c r="E383" s="8"/>
      <c r="F383" s="7"/>
      <c r="G383" s="133"/>
      <c r="H383" s="49"/>
      <c r="I383" s="870"/>
      <c r="J383" s="870"/>
      <c r="K383" s="870"/>
      <c r="L383" s="871"/>
      <c r="M383" s="870"/>
      <c r="N383" s="870"/>
      <c r="O383" s="1012"/>
      <c r="P383" s="7"/>
      <c r="Q383" s="8"/>
      <c r="R383" s="685"/>
      <c r="S383" s="133"/>
      <c r="T383" s="133"/>
      <c r="U383" s="74"/>
      <c r="V383" s="86"/>
      <c r="W383" s="8"/>
      <c r="X383" s="8"/>
      <c r="Y383" s="8"/>
      <c r="Z383" s="8"/>
    </row>
    <row r="384" spans="1:26" s="115" customFormat="1" ht="12" customHeight="1">
      <c r="A384" s="7" t="s">
        <v>2241</v>
      </c>
      <c r="B384" s="1268">
        <f>SUM(O359:O382)</f>
        <v>0</v>
      </c>
      <c r="C384" s="826" t="e">
        <f>B384/B343</f>
        <v>#VALUE!</v>
      </c>
      <c r="D384" s="9" t="s">
        <v>574</v>
      </c>
      <c r="E384" s="8"/>
      <c r="F384" s="7"/>
      <c r="G384" s="133"/>
      <c r="H384" s="49"/>
      <c r="I384" s="870"/>
      <c r="J384" s="870"/>
      <c r="K384" s="870"/>
      <c r="L384" s="871"/>
      <c r="M384" s="870"/>
      <c r="N384" s="870"/>
      <c r="O384" s="1012"/>
      <c r="P384" s="7"/>
      <c r="Q384" s="8"/>
      <c r="R384" s="685"/>
      <c r="S384" s="133"/>
      <c r="T384" s="133"/>
      <c r="U384" s="1361"/>
      <c r="V384" s="86"/>
      <c r="W384" s="8"/>
      <c r="X384" s="8"/>
      <c r="Y384" s="8"/>
      <c r="Z384" s="8"/>
    </row>
    <row r="385" spans="1:26" s="115" customFormat="1" ht="12" customHeight="1">
      <c r="A385" s="7" t="s">
        <v>2693</v>
      </c>
      <c r="B385" s="1268">
        <f>SUM(O358:O383)</f>
        <v>0</v>
      </c>
      <c r="C385" s="826" t="e">
        <f>B385/B341</f>
        <v>#VALUE!</v>
      </c>
      <c r="D385" s="9" t="s">
        <v>574</v>
      </c>
      <c r="E385" s="8"/>
      <c r="F385" s="7"/>
      <c r="G385" s="133"/>
      <c r="H385" s="49"/>
      <c r="I385" s="870"/>
      <c r="J385" s="870"/>
      <c r="K385" s="870"/>
      <c r="L385" s="871"/>
      <c r="M385" s="870"/>
      <c r="N385" s="870"/>
      <c r="O385" s="1012"/>
      <c r="P385" s="7"/>
      <c r="Q385" s="8"/>
      <c r="R385" s="685"/>
      <c r="S385" s="133"/>
      <c r="T385" s="133"/>
      <c r="U385" s="1733"/>
      <c r="V385" s="86"/>
      <c r="W385" s="8"/>
      <c r="X385" s="8"/>
      <c r="Y385" s="8"/>
      <c r="Z385" s="8"/>
    </row>
    <row r="386" spans="1:26" s="115" customFormat="1" ht="12" customHeight="1">
      <c r="A386" s="7" t="s">
        <v>3013</v>
      </c>
      <c r="B386" s="1272">
        <f>SUM(O356:O386)</f>
        <v>0</v>
      </c>
      <c r="C386" s="826" t="e">
        <f>B386/B346</f>
        <v>#VALUE!</v>
      </c>
      <c r="D386" s="9" t="s">
        <v>574</v>
      </c>
      <c r="E386" s="8"/>
      <c r="F386" s="407"/>
      <c r="G386" s="999"/>
      <c r="H386" s="998"/>
      <c r="I386" s="407"/>
      <c r="J386" s="407"/>
      <c r="K386" s="407"/>
      <c r="L386" s="998"/>
      <c r="M386" s="407"/>
      <c r="N386" s="1121"/>
      <c r="O386" s="1048"/>
      <c r="P386" s="407"/>
      <c r="Q386" s="407"/>
      <c r="R386" s="1000"/>
      <c r="S386" s="999"/>
      <c r="T386" s="999"/>
      <c r="U386" s="1001"/>
      <c r="V386" s="1605"/>
      <c r="W386" s="407"/>
      <c r="X386" s="407"/>
      <c r="Y386" s="407"/>
      <c r="Z386" s="407"/>
    </row>
    <row r="387" spans="1:26" s="832" customFormat="1" ht="12" customHeight="1">
      <c r="A387" s="7" t="s">
        <v>3212</v>
      </c>
      <c r="B387" s="1272">
        <f>SUM(O361:O387)</f>
        <v>0</v>
      </c>
      <c r="C387" s="826" t="e">
        <f>B387/B350</f>
        <v>#VALUE!</v>
      </c>
      <c r="D387" s="1689" t="s">
        <v>3775</v>
      </c>
      <c r="E387" s="1135">
        <f>SUM(E388:E398)</f>
        <v>851</v>
      </c>
      <c r="F387" s="407"/>
      <c r="G387" s="999"/>
      <c r="H387" s="998"/>
      <c r="I387" s="407"/>
      <c r="J387" s="407"/>
      <c r="K387" s="407"/>
      <c r="L387" s="998"/>
      <c r="M387" s="407"/>
      <c r="N387" s="1121"/>
      <c r="O387" s="1048"/>
      <c r="P387" s="407"/>
      <c r="Q387" s="407"/>
      <c r="R387" s="1000"/>
      <c r="S387" s="999"/>
      <c r="T387" s="999"/>
      <c r="U387" s="1130"/>
      <c r="V387" s="1605"/>
      <c r="W387" s="407"/>
      <c r="X387" s="407"/>
      <c r="Y387" s="407"/>
      <c r="Z387" s="407"/>
    </row>
    <row r="388" spans="1:26" s="115" customFormat="1" ht="12" customHeight="1">
      <c r="A388" s="7" t="s">
        <v>3469</v>
      </c>
      <c r="B388" s="1272">
        <f>SUM(O358:O388)</f>
        <v>0</v>
      </c>
      <c r="C388" s="826" t="e">
        <f>B388/B345</f>
        <v>#VALUE!</v>
      </c>
      <c r="D388" s="9" t="s">
        <v>574</v>
      </c>
      <c r="E388" s="132" t="str">
        <f>E345</f>
        <v>Bachlaan 28</v>
      </c>
      <c r="F388" s="407"/>
      <c r="G388" s="999"/>
      <c r="H388" s="998"/>
      <c r="I388" s="407"/>
      <c r="J388" s="407"/>
      <c r="K388" s="407"/>
      <c r="L388" s="998"/>
      <c r="M388" s="407"/>
      <c r="N388" s="1121"/>
      <c r="O388" s="1048"/>
      <c r="P388" s="407"/>
      <c r="Q388" s="407"/>
      <c r="R388" s="1000"/>
      <c r="S388" s="999"/>
      <c r="T388" s="999"/>
      <c r="U388" s="1130"/>
      <c r="V388" s="1605"/>
      <c r="W388" s="407"/>
      <c r="X388" s="407"/>
      <c r="Y388" s="407"/>
      <c r="Z388" s="407"/>
    </row>
    <row r="389" spans="1:26" s="115" customFormat="1" ht="12" customHeight="1">
      <c r="A389" s="7" t="s">
        <v>574</v>
      </c>
      <c r="B389" s="1280">
        <f t="shared" ref="B389:B395" si="0">E391</f>
        <v>0</v>
      </c>
      <c r="C389" s="29"/>
      <c r="D389" s="1266" t="s">
        <v>577</v>
      </c>
      <c r="E389" s="8"/>
      <c r="F389" s="7"/>
      <c r="G389" s="133"/>
      <c r="H389" s="7"/>
      <c r="I389" s="7"/>
      <c r="J389" s="7"/>
      <c r="K389" s="8"/>
      <c r="L389" s="7"/>
      <c r="M389" s="7"/>
      <c r="N389" s="7"/>
      <c r="O389" s="1012"/>
      <c r="P389" s="7"/>
      <c r="Q389" s="8"/>
      <c r="R389" s="685"/>
      <c r="S389" s="133">
        <v>990</v>
      </c>
      <c r="T389" s="133"/>
      <c r="U389" s="784"/>
      <c r="V389" s="86"/>
      <c r="W389" s="8"/>
      <c r="X389" s="8"/>
      <c r="Y389" s="8"/>
      <c r="Z389" s="8"/>
    </row>
    <row r="390" spans="1:26" s="115" customFormat="1" ht="12" customHeight="1">
      <c r="A390" s="510" t="s">
        <v>574</v>
      </c>
      <c r="B390" s="1280">
        <f t="shared" si="0"/>
        <v>0</v>
      </c>
      <c r="C390" s="29"/>
      <c r="D390" s="1266" t="s">
        <v>577</v>
      </c>
      <c r="E390" s="8"/>
      <c r="F390" s="7"/>
      <c r="G390" s="133"/>
      <c r="H390" s="404"/>
      <c r="I390" s="7"/>
      <c r="J390" s="7"/>
      <c r="K390" s="8"/>
      <c r="L390" s="7"/>
      <c r="M390" s="7"/>
      <c r="N390" s="7"/>
      <c r="O390" s="1012"/>
      <c r="P390" s="7"/>
      <c r="Q390" s="8"/>
      <c r="R390" s="685"/>
      <c r="S390" s="133"/>
      <c r="T390" s="133"/>
      <c r="U390" s="784"/>
      <c r="V390" s="86"/>
      <c r="W390" s="8"/>
      <c r="X390" s="8"/>
      <c r="Y390" s="8"/>
      <c r="Z390" s="8"/>
    </row>
    <row r="391" spans="1:26" s="115" customFormat="1" ht="12" customHeight="1">
      <c r="A391" s="7" t="s">
        <v>574</v>
      </c>
      <c r="B391" s="1280">
        <f t="shared" si="0"/>
        <v>0</v>
      </c>
      <c r="C391" s="29"/>
      <c r="D391" s="1266" t="s">
        <v>577</v>
      </c>
      <c r="E391" s="8"/>
      <c r="F391" s="7"/>
      <c r="G391" s="133"/>
      <c r="H391" s="404"/>
      <c r="I391" s="7"/>
      <c r="J391" s="7"/>
      <c r="K391" s="49"/>
      <c r="L391" s="49"/>
      <c r="M391" s="7"/>
      <c r="N391" s="865"/>
      <c r="O391" s="1012"/>
      <c r="P391" s="7"/>
      <c r="Q391" s="8"/>
      <c r="R391" s="685"/>
      <c r="S391" s="133"/>
      <c r="T391" s="133"/>
      <c r="U391" s="784"/>
      <c r="V391" s="86"/>
      <c r="W391" s="8"/>
      <c r="X391" s="8"/>
      <c r="Y391" s="8"/>
      <c r="Z391" s="8"/>
    </row>
    <row r="392" spans="1:26" s="115" customFormat="1" ht="12" customHeight="1">
      <c r="A392" s="7" t="s">
        <v>574</v>
      </c>
      <c r="B392" s="1280">
        <f t="shared" si="0"/>
        <v>0</v>
      </c>
      <c r="C392" s="29"/>
      <c r="D392" s="1266" t="s">
        <v>577</v>
      </c>
      <c r="E392" s="8"/>
      <c r="F392" s="7"/>
      <c r="G392" s="133"/>
      <c r="H392" s="404"/>
      <c r="I392" s="7"/>
      <c r="J392" s="7"/>
      <c r="K392" s="49"/>
      <c r="L392" s="49"/>
      <c r="M392" s="7"/>
      <c r="N392" s="865"/>
      <c r="O392" s="1012"/>
      <c r="P392" s="7"/>
      <c r="Q392" s="8"/>
      <c r="R392" s="685"/>
      <c r="S392" s="133"/>
      <c r="T392" s="133"/>
      <c r="U392" s="784"/>
      <c r="V392" s="86"/>
      <c r="W392" s="8"/>
      <c r="X392" s="8"/>
      <c r="Y392" s="8"/>
      <c r="Z392" s="8"/>
    </row>
    <row r="393" spans="1:26" s="115" customFormat="1" ht="12" customHeight="1">
      <c r="A393" s="7" t="s">
        <v>574</v>
      </c>
      <c r="B393" s="1280">
        <f t="shared" si="0"/>
        <v>0</v>
      </c>
      <c r="C393" s="29"/>
      <c r="D393" s="1266" t="s">
        <v>577</v>
      </c>
      <c r="E393" s="8"/>
      <c r="F393" s="7"/>
      <c r="G393" s="133"/>
      <c r="H393" s="404"/>
      <c r="I393" s="7"/>
      <c r="J393" s="7"/>
      <c r="K393" s="49"/>
      <c r="L393" s="49"/>
      <c r="M393" s="7"/>
      <c r="N393" s="865"/>
      <c r="O393" s="1012"/>
      <c r="P393" s="7"/>
      <c r="Q393" s="8"/>
      <c r="R393" s="685"/>
      <c r="S393" s="133"/>
      <c r="T393" s="133"/>
      <c r="U393" s="784"/>
      <c r="V393" s="86"/>
      <c r="W393" s="8"/>
      <c r="X393" s="8"/>
      <c r="Y393" s="8"/>
      <c r="Z393" s="8"/>
    </row>
    <row r="394" spans="1:26" s="115" customFormat="1" ht="12" customHeight="1">
      <c r="A394" s="7" t="s">
        <v>574</v>
      </c>
      <c r="B394" s="1280">
        <f t="shared" si="0"/>
        <v>851</v>
      </c>
      <c r="C394" s="29"/>
      <c r="D394" s="1266" t="s">
        <v>577</v>
      </c>
      <c r="E394" s="8"/>
      <c r="F394" s="7"/>
      <c r="G394" s="133"/>
      <c r="H394" s="404"/>
      <c r="I394" s="7"/>
      <c r="J394" s="7"/>
      <c r="K394" s="49"/>
      <c r="L394" s="49"/>
      <c r="M394" s="7"/>
      <c r="N394" s="865"/>
      <c r="O394" s="1012"/>
      <c r="P394" s="7"/>
      <c r="Q394" s="8"/>
      <c r="R394" s="685"/>
      <c r="S394" s="133"/>
      <c r="T394" s="133"/>
      <c r="U394" s="1383"/>
      <c r="V394" s="86"/>
      <c r="W394" s="8"/>
      <c r="X394" s="8"/>
      <c r="Y394" s="8"/>
      <c r="Z394" s="8"/>
    </row>
    <row r="395" spans="1:26" s="115" customFormat="1" ht="12" customHeight="1">
      <c r="A395" s="7" t="s">
        <v>574</v>
      </c>
      <c r="B395" s="1280">
        <f t="shared" si="0"/>
        <v>0</v>
      </c>
      <c r="C395" s="29"/>
      <c r="D395" s="1266" t="s">
        <v>577</v>
      </c>
      <c r="E395" s="8"/>
      <c r="F395" s="407"/>
      <c r="G395" s="999"/>
      <c r="H395" s="998"/>
      <c r="I395" s="407"/>
      <c r="J395" s="407"/>
      <c r="K395" s="407"/>
      <c r="L395" s="998"/>
      <c r="M395" s="407"/>
      <c r="N395" s="1121"/>
      <c r="O395" s="1048"/>
      <c r="P395" s="407"/>
      <c r="Q395" s="407"/>
      <c r="R395" s="1000"/>
      <c r="S395" s="999"/>
      <c r="T395" s="999"/>
      <c r="U395" s="1001"/>
      <c r="V395" s="1605"/>
      <c r="W395" s="407"/>
      <c r="X395" s="407"/>
      <c r="Y395" s="407"/>
      <c r="Z395" s="407"/>
    </row>
    <row r="396" spans="1:26" s="115" customFormat="1" ht="12" customHeight="1">
      <c r="A396" s="7" t="s">
        <v>574</v>
      </c>
      <c r="B396" s="1280">
        <f>E392</f>
        <v>0</v>
      </c>
      <c r="C396" s="29"/>
      <c r="D396" s="1685" t="s">
        <v>577</v>
      </c>
      <c r="E396" s="132">
        <v>851</v>
      </c>
      <c r="F396" s="407"/>
      <c r="G396" s="999"/>
      <c r="H396" s="998"/>
      <c r="I396" s="407"/>
      <c r="J396" s="407"/>
      <c r="K396" s="1518">
        <f>43200/600</f>
        <v>72</v>
      </c>
      <c r="L396" s="998"/>
      <c r="M396" s="407"/>
      <c r="N396" s="1121"/>
      <c r="O396" s="1460"/>
      <c r="P396" s="407"/>
      <c r="Q396" s="407"/>
      <c r="R396" s="1000"/>
      <c r="S396" s="999"/>
      <c r="T396" s="999"/>
      <c r="U396" s="1130"/>
      <c r="V396" s="1605"/>
      <c r="W396" s="407"/>
      <c r="X396" s="407"/>
      <c r="Y396" s="407"/>
      <c r="Z396" s="407"/>
    </row>
    <row r="397" spans="1:26" s="115" customFormat="1" ht="12" customHeight="1">
      <c r="A397" s="7" t="s">
        <v>574</v>
      </c>
      <c r="B397" s="1280">
        <f>E393</f>
        <v>0</v>
      </c>
      <c r="C397" s="29"/>
      <c r="D397" s="1266" t="s">
        <v>577</v>
      </c>
      <c r="E397" s="132"/>
      <c r="F397" s="407"/>
      <c r="G397" s="999"/>
      <c r="H397" s="998"/>
      <c r="I397" s="407"/>
      <c r="J397" s="407"/>
      <c r="K397" s="407"/>
      <c r="L397" s="998"/>
      <c r="M397" s="407"/>
      <c r="N397" s="1121"/>
      <c r="O397" s="1048"/>
      <c r="P397" s="407"/>
      <c r="Q397" s="407"/>
      <c r="R397" s="1000"/>
      <c r="S397" s="999"/>
      <c r="T397" s="999"/>
      <c r="U397" s="1130"/>
      <c r="V397" s="1605"/>
      <c r="W397" s="407"/>
      <c r="X397" s="407"/>
      <c r="Y397" s="407"/>
      <c r="Z397" s="407"/>
    </row>
    <row r="398" spans="1:26" s="115" customFormat="1" ht="12" customHeight="1">
      <c r="A398" s="1642" t="s">
        <v>3525</v>
      </c>
      <c r="B398" s="1470" t="s">
        <v>344</v>
      </c>
      <c r="C398" s="1471">
        <v>45115</v>
      </c>
      <c r="D398" s="1471">
        <v>45122</v>
      </c>
      <c r="E398" s="1470" t="s">
        <v>3539</v>
      </c>
      <c r="F398" s="1470"/>
      <c r="G398" s="1472" t="s">
        <v>3540</v>
      </c>
      <c r="H398" s="1470" t="s">
        <v>3541</v>
      </c>
      <c r="I398" s="1470" t="s">
        <v>18</v>
      </c>
      <c r="J398" s="1470"/>
      <c r="K398" s="1473"/>
      <c r="L398" s="1470" t="s">
        <v>3542</v>
      </c>
      <c r="M398" s="1470"/>
      <c r="N398" s="1458" t="s">
        <v>3538</v>
      </c>
      <c r="O398" s="1474">
        <v>1990</v>
      </c>
      <c r="P398" s="1470"/>
      <c r="Q398" s="1470">
        <v>2</v>
      </c>
      <c r="R398" s="1475">
        <v>1</v>
      </c>
      <c r="S398" s="1472">
        <v>2</v>
      </c>
      <c r="T398" s="1472">
        <v>1</v>
      </c>
      <c r="U398" s="1476">
        <v>497.5</v>
      </c>
      <c r="V398" s="1607">
        <v>45090</v>
      </c>
      <c r="W398" s="1470"/>
      <c r="X398" s="1470" t="s">
        <v>1217</v>
      </c>
      <c r="Y398" s="1470" t="s">
        <v>3532</v>
      </c>
      <c r="Z398" s="1470"/>
    </row>
    <row r="399" spans="1:26" s="115" customFormat="1" ht="12" customHeight="1">
      <c r="A399" s="1615" t="s">
        <v>3973</v>
      </c>
      <c r="B399" s="498"/>
      <c r="C399" s="499"/>
      <c r="D399" s="499">
        <v>45390</v>
      </c>
      <c r="E399" s="498"/>
      <c r="F399" s="498"/>
      <c r="G399" s="500"/>
      <c r="H399" s="498"/>
      <c r="I399" s="498"/>
      <c r="J399" s="498"/>
      <c r="K399" s="688"/>
      <c r="L399" s="498"/>
      <c r="M399" s="498"/>
      <c r="N399" s="501"/>
      <c r="O399" s="1040">
        <v>18000</v>
      </c>
      <c r="P399" s="498"/>
      <c r="Q399" s="498"/>
      <c r="R399" s="894"/>
      <c r="S399" s="500"/>
      <c r="T399" s="500"/>
      <c r="U399" s="1729"/>
      <c r="V399" s="504"/>
      <c r="W399" s="498"/>
      <c r="X399" s="498"/>
      <c r="Y399" s="498"/>
      <c r="Z399" s="498"/>
    </row>
    <row r="400" spans="1:26" s="838" customFormat="1" ht="12" customHeight="1">
      <c r="A400" s="1250" t="s">
        <v>3417</v>
      </c>
      <c r="B400" s="923" t="s">
        <v>528</v>
      </c>
      <c r="C400" s="924">
        <v>45108</v>
      </c>
      <c r="D400" s="924">
        <v>45115</v>
      </c>
      <c r="E400" s="923" t="s">
        <v>3422</v>
      </c>
      <c r="F400" s="923"/>
      <c r="G400" s="925" t="s">
        <v>3423</v>
      </c>
      <c r="H400" s="923" t="s">
        <v>937</v>
      </c>
      <c r="I400" s="923" t="s">
        <v>18</v>
      </c>
      <c r="J400" s="923"/>
      <c r="K400" s="926"/>
      <c r="L400" s="923" t="s">
        <v>3420</v>
      </c>
      <c r="M400" s="923"/>
      <c r="N400" s="121" t="s">
        <v>3419</v>
      </c>
      <c r="O400" s="1195">
        <f>625+1956</f>
        <v>2581</v>
      </c>
      <c r="P400" s="923"/>
      <c r="Q400" s="923" t="s">
        <v>1244</v>
      </c>
      <c r="R400" s="1196">
        <v>1</v>
      </c>
      <c r="S400" s="925" t="s">
        <v>3424</v>
      </c>
      <c r="T400" s="925">
        <v>1</v>
      </c>
      <c r="U400" s="1427" t="s">
        <v>3425</v>
      </c>
      <c r="V400" s="929">
        <v>44941</v>
      </c>
      <c r="W400" s="923" t="s">
        <v>1338</v>
      </c>
      <c r="X400" s="923" t="s">
        <v>1154</v>
      </c>
      <c r="Y400" s="923"/>
      <c r="Z400" s="923"/>
    </row>
    <row r="401" spans="1:26" s="838" customFormat="1" ht="12" customHeight="1">
      <c r="A401" s="7" t="s">
        <v>464</v>
      </c>
      <c r="B401" s="1275">
        <f>1577.94*12</f>
        <v>18935.28</v>
      </c>
      <c r="C401" s="29"/>
      <c r="D401" s="29"/>
      <c r="E401" s="7"/>
      <c r="F401" s="7"/>
      <c r="G401" s="133"/>
      <c r="H401" s="7"/>
      <c r="I401" s="7"/>
      <c r="J401" s="7"/>
      <c r="K401" s="7"/>
      <c r="L401" s="7"/>
      <c r="M401" s="7"/>
      <c r="N401" s="7"/>
      <c r="O401" s="1012"/>
      <c r="P401" s="7"/>
      <c r="Q401" s="8"/>
      <c r="R401" s="685"/>
      <c r="S401" s="133"/>
      <c r="T401" s="133"/>
      <c r="U401" s="784"/>
      <c r="V401" s="86"/>
      <c r="W401" s="8"/>
      <c r="X401" s="8"/>
      <c r="Y401" s="8"/>
      <c r="Z401" s="8"/>
    </row>
    <row r="402" spans="1:26" s="115" customFormat="1" ht="12" customHeight="1">
      <c r="A402" s="7" t="s">
        <v>464</v>
      </c>
      <c r="B402" s="1275">
        <f>1577.94*12</f>
        <v>18935.28</v>
      </c>
      <c r="C402" s="29"/>
      <c r="D402" s="1266" t="s">
        <v>579</v>
      </c>
      <c r="E402" s="8">
        <v>1500</v>
      </c>
      <c r="F402" s="7"/>
      <c r="G402" s="133"/>
      <c r="H402" s="7"/>
      <c r="I402" s="785"/>
      <c r="J402" s="7"/>
      <c r="K402" s="7"/>
      <c r="L402" s="7"/>
      <c r="M402" s="7"/>
      <c r="N402" s="773"/>
      <c r="O402" s="1012"/>
      <c r="P402" s="7"/>
      <c r="Q402" s="8"/>
      <c r="R402" s="685"/>
      <c r="S402" s="133"/>
      <c r="T402" s="133"/>
      <c r="U402" s="784"/>
      <c r="V402" s="86"/>
      <c r="W402" s="8"/>
      <c r="X402" s="8"/>
      <c r="Y402" s="8"/>
      <c r="Z402" s="8"/>
    </row>
    <row r="403" spans="1:26" s="115" customFormat="1" ht="12" customHeight="1">
      <c r="A403" s="7" t="s">
        <v>464</v>
      </c>
      <c r="B403" s="1275">
        <f>1577.94*12</f>
        <v>18935.28</v>
      </c>
      <c r="C403" s="29"/>
      <c r="D403" s="1266" t="s">
        <v>667</v>
      </c>
      <c r="E403" s="8">
        <v>1544</v>
      </c>
      <c r="F403" s="7"/>
      <c r="G403" s="133"/>
      <c r="H403" s="7"/>
      <c r="I403" s="785"/>
      <c r="J403" s="7"/>
      <c r="K403" s="8"/>
      <c r="L403" s="7"/>
      <c r="M403" s="7"/>
      <c r="N403" s="773"/>
      <c r="O403" s="1012"/>
      <c r="P403" s="7"/>
      <c r="Q403" s="8"/>
      <c r="R403" s="685"/>
      <c r="S403" s="133"/>
      <c r="T403" s="133"/>
      <c r="U403" s="784"/>
      <c r="V403" s="86"/>
      <c r="W403" s="8"/>
      <c r="X403" s="8"/>
      <c r="Y403" s="8"/>
      <c r="Z403" s="8"/>
    </row>
    <row r="404" spans="1:26" s="115" customFormat="1" ht="12" customHeight="1">
      <c r="A404" s="7" t="s">
        <v>464</v>
      </c>
      <c r="B404" s="1275">
        <f>1577.94*12</f>
        <v>18935.28</v>
      </c>
      <c r="C404" s="29"/>
      <c r="D404" s="1266" t="s">
        <v>677</v>
      </c>
      <c r="E404" s="8"/>
      <c r="F404" s="7"/>
      <c r="G404" s="133"/>
      <c r="H404" s="7"/>
      <c r="I404" s="7"/>
      <c r="J404" s="7"/>
      <c r="K404" s="7"/>
      <c r="L404" s="7"/>
      <c r="M404" s="7"/>
      <c r="N404" s="7"/>
      <c r="O404" s="1012"/>
      <c r="P404" s="7"/>
      <c r="Q404" s="8"/>
      <c r="R404" s="685"/>
      <c r="S404" s="133"/>
      <c r="T404" s="133"/>
      <c r="U404" s="784"/>
      <c r="V404" s="86"/>
      <c r="W404" s="8"/>
      <c r="X404" s="8"/>
      <c r="Y404" s="8"/>
      <c r="Z404" s="8"/>
    </row>
    <row r="405" spans="1:26" s="115" customFormat="1" ht="12" customHeight="1">
      <c r="A405" s="7" t="s">
        <v>464</v>
      </c>
      <c r="B405" s="1275">
        <f>1577.94*12</f>
        <v>18935.28</v>
      </c>
      <c r="C405" s="29"/>
      <c r="D405" s="1266" t="s">
        <v>677</v>
      </c>
      <c r="E405" s="8"/>
      <c r="F405" s="7"/>
      <c r="G405" s="133"/>
      <c r="H405" s="7"/>
      <c r="I405" s="7"/>
      <c r="J405" s="7"/>
      <c r="K405" s="7"/>
      <c r="L405" s="7"/>
      <c r="M405" s="7"/>
      <c r="N405" s="7"/>
      <c r="O405" s="1012"/>
      <c r="P405" s="7"/>
      <c r="Q405" s="8"/>
      <c r="R405" s="685"/>
      <c r="S405" s="133"/>
      <c r="T405" s="133"/>
      <c r="U405" s="1724">
        <f>U403+U404</f>
        <v>0</v>
      </c>
      <c r="V405" s="86"/>
      <c r="W405" s="8"/>
      <c r="X405" s="8"/>
      <c r="Y405" s="8"/>
      <c r="Z405" s="8"/>
    </row>
    <row r="406" spans="1:26" s="115" customFormat="1" ht="12" customHeight="1">
      <c r="A406" s="7" t="s">
        <v>464</v>
      </c>
      <c r="B406" s="1275">
        <f>(1577.94*12)-1040.38-(1040.38-394.46)</f>
        <v>17248.979999999996</v>
      </c>
      <c r="C406" s="29"/>
      <c r="D406" s="1266" t="s">
        <v>677</v>
      </c>
      <c r="E406" s="8"/>
      <c r="F406" s="7"/>
      <c r="G406" s="133"/>
      <c r="H406" s="7"/>
      <c r="I406" s="7"/>
      <c r="J406" s="7"/>
      <c r="K406" s="7"/>
      <c r="L406" s="7"/>
      <c r="M406" s="7"/>
      <c r="N406" s="7"/>
      <c r="O406" s="1012"/>
      <c r="P406" s="7"/>
      <c r="Q406" s="8"/>
      <c r="R406" s="685"/>
      <c r="S406" s="133"/>
      <c r="T406" s="133"/>
      <c r="U406" s="784"/>
      <c r="V406" s="86"/>
      <c r="W406" s="8"/>
      <c r="X406" s="8"/>
      <c r="Y406" s="8"/>
      <c r="Z406" s="8"/>
    </row>
    <row r="407" spans="1:26" s="115" customFormat="1" ht="12" customHeight="1">
      <c r="A407" s="7" t="s">
        <v>464</v>
      </c>
      <c r="B407" s="1275">
        <f>537.56*12</f>
        <v>6450.7199999999993</v>
      </c>
      <c r="C407" s="29"/>
      <c r="D407" s="1266" t="s">
        <v>677</v>
      </c>
      <c r="E407" s="8"/>
      <c r="F407" s="7"/>
      <c r="G407" s="133"/>
      <c r="H407" s="7"/>
      <c r="I407" s="7"/>
      <c r="J407" s="7"/>
      <c r="K407" s="7"/>
      <c r="L407" s="7"/>
      <c r="M407" s="7"/>
      <c r="N407" s="7"/>
      <c r="O407" s="1012"/>
      <c r="P407" s="7"/>
      <c r="Q407" s="8"/>
      <c r="R407" s="685"/>
      <c r="S407" s="133"/>
      <c r="T407" s="133"/>
      <c r="U407" s="784"/>
      <c r="V407" s="86"/>
      <c r="W407" s="8"/>
      <c r="X407" s="8"/>
      <c r="Y407" s="8"/>
      <c r="Z407" s="8"/>
    </row>
    <row r="408" spans="1:26" ht="12" customHeight="1">
      <c r="A408" s="7" t="s">
        <v>464</v>
      </c>
      <c r="B408" s="1275">
        <f>537.56*12+5800</f>
        <v>12250.72</v>
      </c>
      <c r="C408" s="29"/>
      <c r="D408" s="1266" t="s">
        <v>1304</v>
      </c>
      <c r="F408" s="7"/>
      <c r="G408" s="133"/>
      <c r="H408" s="7"/>
      <c r="I408" s="7"/>
      <c r="J408" s="7"/>
      <c r="K408" s="7"/>
      <c r="L408" s="7"/>
      <c r="M408" s="7"/>
      <c r="N408" s="7"/>
      <c r="O408" s="1012"/>
      <c r="P408" s="7"/>
      <c r="S408" s="133"/>
      <c r="T408" s="133"/>
      <c r="U408" s="7"/>
    </row>
    <row r="409" spans="1:26" ht="12" customHeight="1">
      <c r="A409" s="7" t="s">
        <v>464</v>
      </c>
      <c r="B409" s="1277">
        <f>537.56*12</f>
        <v>6450.7199999999993</v>
      </c>
      <c r="C409" s="29"/>
      <c r="D409" s="1266" t="s">
        <v>1304</v>
      </c>
      <c r="F409" s="7"/>
      <c r="G409" s="133"/>
      <c r="H409" s="7"/>
      <c r="I409" s="7"/>
      <c r="J409" s="7"/>
      <c r="L409" s="7"/>
      <c r="M409" s="7"/>
      <c r="N409" s="7"/>
      <c r="O409" s="1012"/>
      <c r="P409" s="7"/>
      <c r="S409" s="133">
        <v>1090</v>
      </c>
      <c r="T409" s="133"/>
      <c r="U409" s="7"/>
    </row>
    <row r="410" spans="1:26" ht="12" customHeight="1">
      <c r="A410" s="7" t="s">
        <v>464</v>
      </c>
      <c r="B410" s="1277">
        <f>537.56*12</f>
        <v>6450.7199999999993</v>
      </c>
      <c r="C410" s="29"/>
      <c r="D410" s="1266" t="s">
        <v>1304</v>
      </c>
      <c r="F410" s="7"/>
      <c r="G410" s="133"/>
      <c r="H410" s="404"/>
      <c r="I410" s="7"/>
      <c r="J410" s="7"/>
      <c r="L410" s="7"/>
      <c r="M410" s="7"/>
      <c r="N410" s="7"/>
      <c r="O410" s="1012"/>
      <c r="P410" s="7"/>
      <c r="S410" s="133"/>
      <c r="T410" s="133"/>
      <c r="U410" s="7"/>
    </row>
    <row r="411" spans="1:26" ht="12" customHeight="1">
      <c r="A411" s="7" t="s">
        <v>464</v>
      </c>
      <c r="B411" s="1277">
        <f>537.56*2</f>
        <v>1075.1199999999999</v>
      </c>
      <c r="C411" s="29"/>
      <c r="D411" s="1266" t="s">
        <v>1304</v>
      </c>
      <c r="F411" s="7"/>
      <c r="G411" s="133"/>
      <c r="H411" s="404"/>
      <c r="I411" s="7"/>
      <c r="J411" s="7"/>
      <c r="K411" s="404"/>
      <c r="L411" s="404"/>
      <c r="M411" s="7"/>
      <c r="O411" s="1015">
        <f>O393-670</f>
        <v>-670</v>
      </c>
      <c r="P411" s="7"/>
      <c r="S411" s="133"/>
      <c r="T411" s="133"/>
      <c r="U411" s="7"/>
    </row>
    <row r="412" spans="1:26" ht="12" customHeight="1" thickBot="1">
      <c r="A412" s="7" t="s">
        <v>464</v>
      </c>
      <c r="B412" s="1277">
        <v>0</v>
      </c>
      <c r="C412" s="29"/>
      <c r="D412" s="1266" t="s">
        <v>1304</v>
      </c>
      <c r="F412" s="7"/>
      <c r="G412" s="133"/>
      <c r="H412" s="404"/>
      <c r="I412" s="870"/>
      <c r="J412" s="870"/>
      <c r="K412" s="872"/>
      <c r="L412" s="872"/>
      <c r="M412" s="870"/>
      <c r="N412" s="457"/>
      <c r="P412" s="7"/>
      <c r="S412" s="133"/>
      <c r="T412" s="133"/>
      <c r="U412" s="7"/>
    </row>
    <row r="413" spans="1:26" ht="12" customHeight="1" thickBot="1">
      <c r="A413" s="18" t="s">
        <v>464</v>
      </c>
      <c r="B413" s="917">
        <v>0</v>
      </c>
      <c r="C413" s="29"/>
      <c r="D413" s="1311" t="s">
        <v>1304</v>
      </c>
      <c r="E413" s="782"/>
      <c r="F413" s="7"/>
      <c r="G413" s="133"/>
      <c r="H413" s="404"/>
      <c r="I413" s="870"/>
      <c r="J413" s="870"/>
      <c r="K413" s="872"/>
      <c r="L413" s="872"/>
      <c r="M413" s="870"/>
      <c r="N413" s="457"/>
      <c r="P413" s="7"/>
      <c r="S413" s="133"/>
      <c r="T413" s="133"/>
      <c r="U413" s="7"/>
    </row>
    <row r="414" spans="1:26" ht="12" customHeight="1" thickBot="1">
      <c r="A414" s="768" t="s">
        <v>464</v>
      </c>
      <c r="B414" s="1659">
        <v>0</v>
      </c>
      <c r="C414" s="1295"/>
      <c r="D414" s="17" t="s">
        <v>1304</v>
      </c>
      <c r="E414" s="13"/>
      <c r="F414" s="7"/>
      <c r="G414" s="133"/>
      <c r="H414" s="404"/>
      <c r="I414" s="870"/>
      <c r="J414" s="870"/>
      <c r="K414" s="872"/>
      <c r="L414" s="872"/>
      <c r="M414" s="870"/>
      <c r="N414" s="457"/>
      <c r="P414" s="7"/>
      <c r="S414" s="133"/>
      <c r="T414" s="133"/>
      <c r="U414" s="870"/>
    </row>
    <row r="415" spans="1:26" ht="12" customHeight="1" thickBot="1">
      <c r="A415" s="7" t="s">
        <v>464</v>
      </c>
      <c r="B415" s="1135">
        <v>0</v>
      </c>
      <c r="C415" s="29"/>
      <c r="D415" s="17" t="s">
        <v>1304</v>
      </c>
      <c r="E415" s="13"/>
      <c r="F415" s="407"/>
      <c r="G415" s="999"/>
      <c r="H415" s="998"/>
      <c r="I415" s="407"/>
      <c r="J415" s="407"/>
      <c r="K415" s="407"/>
      <c r="L415" s="998"/>
      <c r="M415" s="407"/>
      <c r="N415" s="1121"/>
      <c r="O415" s="1048"/>
      <c r="P415" s="407"/>
      <c r="Q415" s="407"/>
      <c r="R415" s="1000"/>
      <c r="S415" s="999"/>
      <c r="T415" s="999"/>
      <c r="U415" s="1721"/>
      <c r="V415" s="1605"/>
      <c r="W415" s="407"/>
      <c r="X415" s="407"/>
      <c r="Y415" s="407"/>
      <c r="Z415" s="407"/>
    </row>
    <row r="416" spans="1:26" ht="12" customHeight="1" thickBot="1">
      <c r="A416" s="18" t="s">
        <v>464</v>
      </c>
      <c r="B416" s="917">
        <v>0</v>
      </c>
      <c r="C416" s="29"/>
      <c r="D416" s="1580" t="s">
        <v>3780</v>
      </c>
      <c r="E416" s="1578">
        <v>1500</v>
      </c>
      <c r="F416" s="407"/>
      <c r="G416" s="999"/>
      <c r="H416" s="998"/>
      <c r="I416" s="407"/>
      <c r="J416" s="407"/>
      <c r="K416" s="1518">
        <f>(600/43200)*11400</f>
        <v>158.33333333333331</v>
      </c>
      <c r="L416" s="998"/>
      <c r="M416" s="407"/>
      <c r="N416" s="1121"/>
      <c r="O416" s="1048"/>
      <c r="P416" s="407"/>
      <c r="Q416" s="407"/>
      <c r="R416" s="1000"/>
      <c r="S416" s="999"/>
      <c r="T416" s="999"/>
      <c r="U416" s="1730"/>
      <c r="V416" s="1605"/>
      <c r="W416" s="407"/>
      <c r="X416" s="407"/>
      <c r="Y416" s="407"/>
      <c r="Z416" s="407"/>
    </row>
    <row r="417" spans="1:26" ht="12" customHeight="1" thickBot="1">
      <c r="A417" s="852" t="s">
        <v>464</v>
      </c>
      <c r="B417" s="1669">
        <v>0</v>
      </c>
      <c r="C417" s="29"/>
      <c r="D417" s="17" t="s">
        <v>1304</v>
      </c>
      <c r="E417" s="1127"/>
      <c r="F417" s="407"/>
      <c r="G417" s="999"/>
      <c r="H417" s="998"/>
      <c r="I417" s="407"/>
      <c r="J417" s="407"/>
      <c r="K417" s="407"/>
      <c r="L417" s="998"/>
      <c r="M417" s="407"/>
      <c r="N417" s="1121"/>
      <c r="O417" s="1048"/>
      <c r="P417" s="407"/>
      <c r="Q417" s="407"/>
      <c r="R417" s="1000"/>
      <c r="S417" s="999"/>
      <c r="T417" s="999"/>
      <c r="U417" s="1730"/>
      <c r="V417" s="1605"/>
      <c r="W417" s="407"/>
      <c r="X417" s="407"/>
      <c r="Y417" s="407"/>
      <c r="Z417" s="407"/>
    </row>
    <row r="418" spans="1:26" ht="12" customHeight="1" thickBot="1">
      <c r="A418" s="510" t="s">
        <v>1045</v>
      </c>
      <c r="B418" s="854">
        <f>B412/12</f>
        <v>0</v>
      </c>
      <c r="C418" s="29"/>
      <c r="D418" s="801" t="s">
        <v>585</v>
      </c>
      <c r="E418" s="789">
        <f>SUM(E413:E417)</f>
        <v>1500</v>
      </c>
      <c r="F418" s="7"/>
      <c r="G418" s="133"/>
      <c r="H418" s="7"/>
      <c r="I418" s="7"/>
      <c r="J418" s="7"/>
      <c r="K418" s="7"/>
      <c r="L418" s="7"/>
      <c r="M418" s="7"/>
      <c r="N418" s="7"/>
      <c r="O418" s="1012"/>
      <c r="P418" s="7"/>
      <c r="S418" s="133"/>
      <c r="T418" s="133"/>
      <c r="U418" s="7"/>
    </row>
    <row r="419" spans="1:26" ht="12" customHeight="1" thickBot="1">
      <c r="A419" s="768" t="s">
        <v>465</v>
      </c>
      <c r="B419" s="1665">
        <f>B414-B417</f>
        <v>0</v>
      </c>
      <c r="C419" s="29"/>
      <c r="D419" s="788"/>
      <c r="E419" s="790"/>
      <c r="F419" s="7"/>
      <c r="G419" s="133"/>
      <c r="H419" s="7"/>
      <c r="I419" s="7"/>
      <c r="J419" s="7"/>
      <c r="K419" s="7"/>
      <c r="L419" s="7"/>
      <c r="M419" s="7"/>
      <c r="N419" s="7"/>
      <c r="O419" s="1012"/>
      <c r="P419" s="7"/>
      <c r="S419" s="133"/>
      <c r="T419" s="133"/>
      <c r="U419" s="7"/>
    </row>
    <row r="420" spans="1:26">
      <c r="A420" s="7" t="s">
        <v>465</v>
      </c>
      <c r="B420" s="774">
        <f>B415-B418</f>
        <v>0</v>
      </c>
      <c r="C420" s="29"/>
      <c r="D420" s="1266" t="s">
        <v>578</v>
      </c>
      <c r="F420" s="7"/>
      <c r="G420" s="133"/>
      <c r="H420" s="7"/>
      <c r="I420" s="7"/>
      <c r="J420" s="7"/>
      <c r="K420" s="7"/>
      <c r="L420" s="7"/>
      <c r="M420" s="7"/>
      <c r="N420" s="7"/>
      <c r="O420" s="1012"/>
      <c r="P420" s="7"/>
      <c r="S420" s="133"/>
      <c r="T420" s="133"/>
      <c r="U420" s="7"/>
    </row>
    <row r="421" spans="1:26" ht="12" customHeight="1">
      <c r="A421" s="510" t="s">
        <v>465</v>
      </c>
      <c r="B421" s="773">
        <f>B416-B419-E422</f>
        <v>0</v>
      </c>
      <c r="C421" s="29"/>
      <c r="D421" s="1266" t="s">
        <v>578</v>
      </c>
      <c r="E421" s="8">
        <f>634</f>
        <v>634</v>
      </c>
      <c r="F421" s="7"/>
      <c r="G421" s="133"/>
      <c r="H421" s="7"/>
      <c r="I421" s="7"/>
      <c r="J421" s="7"/>
      <c r="K421" s="7"/>
      <c r="L421" s="7"/>
      <c r="M421" s="7"/>
      <c r="N421" s="7"/>
      <c r="O421" s="1012"/>
      <c r="P421" s="7"/>
      <c r="S421" s="133"/>
      <c r="T421" s="133"/>
      <c r="U421" s="784"/>
    </row>
    <row r="422" spans="1:26" ht="12" customHeight="1">
      <c r="A422" s="510" t="s">
        <v>465</v>
      </c>
      <c r="B422" s="773">
        <f>B417-B420-E423</f>
        <v>0</v>
      </c>
      <c r="C422" s="29"/>
      <c r="D422" s="1266" t="s">
        <v>578</v>
      </c>
      <c r="F422" s="7"/>
      <c r="G422" s="133"/>
      <c r="H422" s="7"/>
      <c r="I422" s="7"/>
      <c r="J422" s="7"/>
      <c r="K422" s="7"/>
      <c r="L422" s="773"/>
      <c r="M422" s="7"/>
      <c r="N422" s="7"/>
      <c r="O422" s="1012"/>
      <c r="P422" s="7"/>
      <c r="S422" s="133"/>
      <c r="T422" s="133"/>
      <c r="U422" s="784"/>
    </row>
    <row r="423" spans="1:26" s="856" customFormat="1" ht="12" customHeight="1">
      <c r="A423" s="7" t="s">
        <v>465</v>
      </c>
      <c r="B423" s="773">
        <f>B418-B421-E424</f>
        <v>0</v>
      </c>
      <c r="C423" s="29"/>
      <c r="D423" s="1266" t="s">
        <v>578</v>
      </c>
      <c r="E423" s="8"/>
      <c r="F423" s="7"/>
      <c r="G423" s="133"/>
      <c r="H423" s="7"/>
      <c r="I423" s="7"/>
      <c r="J423" s="7"/>
      <c r="K423" s="7"/>
      <c r="L423" s="773"/>
      <c r="M423" s="7"/>
      <c r="N423" s="7"/>
      <c r="O423" s="1012"/>
      <c r="P423" s="7"/>
      <c r="Q423" s="8"/>
      <c r="R423" s="685"/>
      <c r="S423" s="133"/>
      <c r="T423" s="133"/>
      <c r="U423" s="7"/>
      <c r="V423" s="86"/>
      <c r="W423" s="8"/>
      <c r="X423" s="8"/>
      <c r="Y423" s="8"/>
      <c r="Z423" s="8"/>
    </row>
    <row r="424" spans="1:26" s="355" customFormat="1" ht="12" customHeight="1">
      <c r="A424" s="7" t="s">
        <v>465</v>
      </c>
      <c r="B424" s="773">
        <f>B419-B422-E425</f>
        <v>0</v>
      </c>
      <c r="C424" s="29"/>
      <c r="D424" s="1266" t="s">
        <v>578</v>
      </c>
      <c r="E424" s="8"/>
      <c r="F424" s="7"/>
      <c r="G424" s="133"/>
      <c r="H424" s="7"/>
      <c r="I424" s="7"/>
      <c r="J424" s="7"/>
      <c r="K424" s="7"/>
      <c r="L424" s="773"/>
      <c r="M424" s="7"/>
      <c r="N424" s="7"/>
      <c r="O424" s="1012"/>
      <c r="P424" s="7"/>
      <c r="Q424" s="8"/>
      <c r="R424" s="685"/>
      <c r="S424" s="133"/>
      <c r="T424" s="133"/>
      <c r="U424" s="784"/>
      <c r="V424" s="86"/>
      <c r="W424" s="8"/>
      <c r="X424" s="8"/>
      <c r="Y424" s="8"/>
      <c r="Z424" s="8"/>
    </row>
    <row r="425" spans="1:26" s="355" customFormat="1" ht="12" customHeight="1">
      <c r="A425" s="7" t="s">
        <v>1534</v>
      </c>
      <c r="B425" s="773">
        <f t="shared" ref="B425:B433" si="1">B420-B423-B424</f>
        <v>0</v>
      </c>
      <c r="C425" s="29"/>
      <c r="D425" s="1266" t="s">
        <v>578</v>
      </c>
      <c r="E425" s="8"/>
      <c r="F425" s="7"/>
      <c r="G425" s="133"/>
      <c r="H425" s="7"/>
      <c r="I425" s="7"/>
      <c r="J425" s="7"/>
      <c r="K425" s="8"/>
      <c r="L425" s="773"/>
      <c r="M425" s="7"/>
      <c r="N425" s="7"/>
      <c r="O425" s="1012"/>
      <c r="P425" s="7"/>
      <c r="Q425" s="8"/>
      <c r="R425" s="685"/>
      <c r="S425" s="133" t="e">
        <f>S422:S424</f>
        <v>#VALUE!</v>
      </c>
      <c r="T425" s="133"/>
      <c r="U425" s="784"/>
      <c r="V425" s="86"/>
      <c r="W425" s="8"/>
      <c r="X425" s="8"/>
      <c r="Y425" s="8"/>
      <c r="Z425" s="8"/>
    </row>
    <row r="426" spans="1:26" s="115" customFormat="1" ht="12" customHeight="1">
      <c r="A426" s="7" t="s">
        <v>1534</v>
      </c>
      <c r="B426" s="773">
        <f t="shared" si="1"/>
        <v>0</v>
      </c>
      <c r="C426" s="29"/>
      <c r="D426" s="1266" t="s">
        <v>578</v>
      </c>
      <c r="E426" s="8"/>
      <c r="F426" s="7"/>
      <c r="G426" s="133"/>
      <c r="H426" s="404"/>
      <c r="I426" s="7"/>
      <c r="J426" s="7"/>
      <c r="K426" s="8"/>
      <c r="L426" s="773"/>
      <c r="M426" s="7"/>
      <c r="N426" s="7"/>
      <c r="O426" s="1012"/>
      <c r="P426" s="7"/>
      <c r="Q426" s="8"/>
      <c r="R426" s="685"/>
      <c r="S426" s="133"/>
      <c r="T426" s="133"/>
      <c r="U426" s="784"/>
      <c r="V426" s="86"/>
      <c r="W426" s="8"/>
      <c r="X426" s="8"/>
      <c r="Y426" s="8"/>
      <c r="Z426" s="8"/>
    </row>
    <row r="427" spans="1:26" s="355" customFormat="1" ht="12" customHeight="1">
      <c r="A427" s="7" t="s">
        <v>1534</v>
      </c>
      <c r="B427" s="773">
        <f t="shared" si="1"/>
        <v>0</v>
      </c>
      <c r="C427" s="29"/>
      <c r="D427" s="1266" t="s">
        <v>578</v>
      </c>
      <c r="E427" s="8"/>
      <c r="F427" s="7"/>
      <c r="G427" s="133"/>
      <c r="H427" s="404"/>
      <c r="I427" s="7"/>
      <c r="J427" s="7"/>
      <c r="K427" s="8"/>
      <c r="L427" s="8"/>
      <c r="M427" s="7"/>
      <c r="N427" s="7"/>
      <c r="O427" s="1012"/>
      <c r="P427" s="7"/>
      <c r="Q427" s="8"/>
      <c r="R427" s="685"/>
      <c r="S427" s="133"/>
      <c r="T427" s="133"/>
      <c r="U427" s="784"/>
      <c r="V427" s="86"/>
      <c r="W427" s="8"/>
      <c r="X427" s="8"/>
      <c r="Y427" s="8"/>
      <c r="Z427" s="8"/>
    </row>
    <row r="428" spans="1:26" s="115" customFormat="1" ht="12" customHeight="1">
      <c r="A428" s="7" t="s">
        <v>1534</v>
      </c>
      <c r="B428" s="773">
        <f t="shared" si="1"/>
        <v>0</v>
      </c>
      <c r="C428" s="29"/>
      <c r="D428" s="1266" t="s">
        <v>578</v>
      </c>
      <c r="E428" s="8"/>
      <c r="F428" s="7"/>
      <c r="G428" s="133"/>
      <c r="H428" s="404"/>
      <c r="I428" s="7"/>
      <c r="J428" s="7"/>
      <c r="K428" s="8"/>
      <c r="L428" s="8"/>
      <c r="M428" s="7"/>
      <c r="N428" s="7"/>
      <c r="O428" s="1012"/>
      <c r="P428" s="7"/>
      <c r="Q428" s="8"/>
      <c r="R428" s="685"/>
      <c r="S428" s="133"/>
      <c r="T428" s="133"/>
      <c r="U428" s="7"/>
      <c r="V428" s="86"/>
      <c r="W428" s="8"/>
      <c r="X428" s="8"/>
      <c r="Y428" s="8"/>
      <c r="Z428" s="8"/>
    </row>
    <row r="429" spans="1:26" s="115" customFormat="1" ht="12" customHeight="1">
      <c r="A429" s="7" t="s">
        <v>1534</v>
      </c>
      <c r="B429" s="773">
        <f t="shared" si="1"/>
        <v>0</v>
      </c>
      <c r="C429" s="29"/>
      <c r="D429" s="1266" t="s">
        <v>578</v>
      </c>
      <c r="E429" s="8"/>
      <c r="F429" s="7"/>
      <c r="G429" s="133"/>
      <c r="H429" s="404"/>
      <c r="I429" s="7"/>
      <c r="J429" s="7"/>
      <c r="K429" s="8"/>
      <c r="L429" s="8"/>
      <c r="M429" s="7"/>
      <c r="N429" s="7"/>
      <c r="O429" s="1012"/>
      <c r="P429" s="7"/>
      <c r="Q429" s="8"/>
      <c r="R429" s="685"/>
      <c r="S429" s="133"/>
      <c r="T429" s="133"/>
      <c r="U429" s="7"/>
      <c r="V429" s="86"/>
      <c r="W429" s="8"/>
      <c r="X429" s="8"/>
      <c r="Y429" s="8"/>
      <c r="Z429" s="8"/>
    </row>
    <row r="430" spans="1:26" s="355" customFormat="1" ht="12" customHeight="1">
      <c r="A430" s="7" t="s">
        <v>1534</v>
      </c>
      <c r="B430" s="773">
        <f t="shared" si="1"/>
        <v>0</v>
      </c>
      <c r="C430" s="29"/>
      <c r="D430" s="1266" t="s">
        <v>578</v>
      </c>
      <c r="E430" s="8"/>
      <c r="F430" s="7"/>
      <c r="G430" s="133"/>
      <c r="H430" s="404"/>
      <c r="I430" s="7"/>
      <c r="J430" s="7"/>
      <c r="K430" s="8"/>
      <c r="L430" s="8"/>
      <c r="M430" s="7"/>
      <c r="N430" s="7"/>
      <c r="O430" s="1012"/>
      <c r="P430" s="7"/>
      <c r="Q430" s="8"/>
      <c r="R430" s="685"/>
      <c r="S430" s="133"/>
      <c r="T430" s="133"/>
      <c r="U430" s="1383"/>
      <c r="V430" s="86"/>
      <c r="W430" s="8"/>
      <c r="X430" s="8"/>
      <c r="Y430" s="8"/>
      <c r="Z430" s="8"/>
    </row>
    <row r="431" spans="1:26" s="115" customFormat="1" ht="12" customHeight="1">
      <c r="A431" s="7" t="s">
        <v>1534</v>
      </c>
      <c r="B431" s="773">
        <f t="shared" si="1"/>
        <v>0</v>
      </c>
      <c r="C431" s="29"/>
      <c r="D431" s="1266" t="s">
        <v>578</v>
      </c>
      <c r="E431" s="8"/>
      <c r="F431" s="407"/>
      <c r="G431" s="999"/>
      <c r="H431" s="998"/>
      <c r="I431" s="407"/>
      <c r="J431" s="407"/>
      <c r="K431" s="407"/>
      <c r="L431" s="998"/>
      <c r="M431" s="407"/>
      <c r="N431" s="1121"/>
      <c r="O431" s="1048"/>
      <c r="P431" s="407"/>
      <c r="Q431" s="407"/>
      <c r="R431" s="1000"/>
      <c r="S431" s="999"/>
      <c r="T431" s="999"/>
      <c r="U431" s="1721"/>
      <c r="V431" s="1605"/>
      <c r="W431" s="407"/>
      <c r="X431" s="407"/>
      <c r="Y431" s="407"/>
      <c r="Z431" s="407"/>
    </row>
    <row r="432" spans="1:26" s="115" customFormat="1" ht="12" customHeight="1">
      <c r="A432" s="7" t="s">
        <v>1534</v>
      </c>
      <c r="B432" s="773">
        <f t="shared" si="1"/>
        <v>0</v>
      </c>
      <c r="C432" s="29"/>
      <c r="D432" s="1685" t="s">
        <v>3360</v>
      </c>
      <c r="E432" s="132">
        <v>802</v>
      </c>
      <c r="F432" s="407"/>
      <c r="G432" s="999"/>
      <c r="H432" s="998"/>
      <c r="I432" s="407"/>
      <c r="J432" s="407"/>
      <c r="K432" s="1518">
        <f>43200/600</f>
        <v>72</v>
      </c>
      <c r="L432" s="998"/>
      <c r="M432" s="407"/>
      <c r="N432" s="1121"/>
      <c r="O432" s="1048"/>
      <c r="P432" s="407"/>
      <c r="Q432" s="407"/>
      <c r="R432" s="1000"/>
      <c r="S432" s="999"/>
      <c r="T432" s="999"/>
      <c r="U432" s="1130"/>
      <c r="V432" s="1605"/>
      <c r="W432" s="407"/>
      <c r="X432" s="407"/>
      <c r="Y432" s="407"/>
      <c r="Z432" s="407"/>
    </row>
    <row r="433" spans="1:26" s="115" customFormat="1" ht="12" customHeight="1">
      <c r="A433" s="7" t="s">
        <v>1534</v>
      </c>
      <c r="B433" s="773">
        <f t="shared" si="1"/>
        <v>0</v>
      </c>
      <c r="C433" s="29"/>
      <c r="D433" s="1266" t="s">
        <v>3360</v>
      </c>
      <c r="E433" s="132">
        <v>802</v>
      </c>
      <c r="F433" s="407"/>
      <c r="G433" s="999"/>
      <c r="H433" s="998"/>
      <c r="I433" s="407"/>
      <c r="J433" s="407"/>
      <c r="K433" s="407"/>
      <c r="L433" s="998"/>
      <c r="M433" s="407"/>
      <c r="N433" s="1121"/>
      <c r="O433" s="1048"/>
      <c r="P433" s="407"/>
      <c r="Q433" s="407"/>
      <c r="R433" s="1000"/>
      <c r="S433" s="999"/>
      <c r="T433" s="999"/>
      <c r="U433" s="1130"/>
      <c r="V433" s="1605"/>
      <c r="W433" s="407"/>
      <c r="X433" s="407"/>
      <c r="Y433" s="407"/>
      <c r="Z433" s="407"/>
    </row>
    <row r="434" spans="1:26" s="355" customFormat="1" ht="12" customHeight="1">
      <c r="A434" s="7" t="s">
        <v>1236</v>
      </c>
      <c r="B434" s="773">
        <f>B429-B432-E435</f>
        <v>0</v>
      </c>
      <c r="C434" s="29"/>
      <c r="D434" s="1266" t="s">
        <v>578</v>
      </c>
      <c r="E434" s="8"/>
      <c r="F434" s="7"/>
      <c r="G434" s="133"/>
      <c r="H434" s="7"/>
      <c r="I434" s="7"/>
      <c r="J434" s="7"/>
      <c r="K434" s="7"/>
      <c r="L434" s="773"/>
      <c r="M434" s="7"/>
      <c r="N434" s="7"/>
      <c r="O434" s="1012"/>
      <c r="P434" s="7"/>
      <c r="Q434" s="8"/>
      <c r="R434" s="685"/>
      <c r="S434" s="133"/>
      <c r="T434" s="133"/>
      <c r="U434" s="784"/>
      <c r="V434" s="86"/>
      <c r="W434" s="8"/>
      <c r="X434" s="8"/>
      <c r="Y434" s="8"/>
      <c r="Z434" s="8"/>
    </row>
    <row r="435" spans="1:26" s="355" customFormat="1" ht="12" customHeight="1">
      <c r="A435" s="7" t="s">
        <v>1236</v>
      </c>
      <c r="B435" s="773">
        <f>B430-B433-E436</f>
        <v>0</v>
      </c>
      <c r="C435" s="29"/>
      <c r="D435" s="1266" t="s">
        <v>578</v>
      </c>
      <c r="E435" s="8"/>
      <c r="F435" s="7"/>
      <c r="G435" s="133"/>
      <c r="H435" s="7"/>
      <c r="I435" s="7"/>
      <c r="J435" s="7"/>
      <c r="K435" s="7"/>
      <c r="L435" s="773"/>
      <c r="M435" s="7"/>
      <c r="N435" s="7"/>
      <c r="O435" s="1012"/>
      <c r="P435" s="7"/>
      <c r="Q435" s="8"/>
      <c r="R435" s="685"/>
      <c r="S435" s="133"/>
      <c r="T435" s="133"/>
      <c r="U435" s="784"/>
      <c r="V435" s="86"/>
      <c r="W435" s="8"/>
      <c r="X435" s="8"/>
      <c r="Y435" s="8"/>
      <c r="Z435" s="8"/>
    </row>
    <row r="436" spans="1:26" s="355" customFormat="1" ht="12" customHeight="1">
      <c r="A436" s="7" t="s">
        <v>466</v>
      </c>
      <c r="B436" s="774">
        <f t="shared" ref="B436:B442" si="2">B430/12</f>
        <v>0</v>
      </c>
      <c r="C436" s="29"/>
      <c r="D436" s="29"/>
      <c r="E436" s="7"/>
      <c r="F436" s="7"/>
      <c r="G436" s="133"/>
      <c r="H436" s="7"/>
      <c r="I436" s="7"/>
      <c r="J436" s="7"/>
      <c r="K436" s="7"/>
      <c r="L436" s="7"/>
      <c r="M436" s="7"/>
      <c r="N436" s="7"/>
      <c r="O436" s="1012"/>
      <c r="P436" s="7"/>
      <c r="Q436" s="8"/>
      <c r="R436" s="685"/>
      <c r="S436" s="133"/>
      <c r="T436" s="133"/>
      <c r="U436" s="784"/>
      <c r="V436" s="86"/>
      <c r="W436" s="8"/>
      <c r="X436" s="8"/>
      <c r="Y436" s="8"/>
      <c r="Z436" s="8"/>
    </row>
    <row r="437" spans="1:26" s="115" customFormat="1" ht="12" customHeight="1">
      <c r="A437" s="7" t="s">
        <v>466</v>
      </c>
      <c r="B437" s="774">
        <f t="shared" si="2"/>
        <v>0</v>
      </c>
      <c r="C437" s="29"/>
      <c r="D437" s="29" t="s">
        <v>585</v>
      </c>
      <c r="E437" s="1275">
        <f t="shared" ref="E437:E442" si="3">SUM(E432:E436)</f>
        <v>1604</v>
      </c>
      <c r="F437" s="7"/>
      <c r="G437" s="133"/>
      <c r="H437" s="7"/>
      <c r="I437" s="7"/>
      <c r="J437" s="7"/>
      <c r="K437" s="7"/>
      <c r="L437" s="7"/>
      <c r="M437" s="7"/>
      <c r="N437" s="7"/>
      <c r="O437" s="1012"/>
      <c r="P437" s="7"/>
      <c r="Q437" s="8"/>
      <c r="R437" s="685"/>
      <c r="S437" s="133"/>
      <c r="T437" s="133"/>
      <c r="U437" s="784"/>
      <c r="V437" s="86"/>
      <c r="W437" s="8"/>
      <c r="X437" s="8"/>
      <c r="Y437" s="8"/>
      <c r="Z437" s="8"/>
    </row>
    <row r="438" spans="1:26" s="355" customFormat="1" ht="12" customHeight="1">
      <c r="A438" s="7" t="s">
        <v>466</v>
      </c>
      <c r="B438" s="773">
        <f t="shared" si="2"/>
        <v>0</v>
      </c>
      <c r="C438" s="29"/>
      <c r="D438" s="74" t="s">
        <v>585</v>
      </c>
      <c r="E438" s="1275">
        <f t="shared" si="3"/>
        <v>2406</v>
      </c>
      <c r="F438" s="7"/>
      <c r="G438" s="133"/>
      <c r="H438" s="7"/>
      <c r="I438" s="7"/>
      <c r="J438" s="7"/>
      <c r="K438" s="7"/>
      <c r="L438" s="7"/>
      <c r="M438" s="7"/>
      <c r="N438" s="7"/>
      <c r="O438" s="1012"/>
      <c r="P438" s="7"/>
      <c r="Q438" s="8"/>
      <c r="R438" s="685"/>
      <c r="S438" s="133"/>
      <c r="T438" s="133"/>
      <c r="U438" s="784"/>
      <c r="V438" s="86"/>
      <c r="W438" s="8"/>
      <c r="X438" s="8"/>
      <c r="Y438" s="8"/>
      <c r="Z438" s="8"/>
    </row>
    <row r="439" spans="1:26" s="115" customFormat="1" ht="12" customHeight="1">
      <c r="A439" s="7" t="s">
        <v>466</v>
      </c>
      <c r="B439" s="773">
        <f t="shared" si="2"/>
        <v>0</v>
      </c>
      <c r="C439" s="29"/>
      <c r="D439" s="74" t="s">
        <v>585</v>
      </c>
      <c r="E439" s="1275">
        <f t="shared" si="3"/>
        <v>4010</v>
      </c>
      <c r="F439" s="7"/>
      <c r="G439" s="133"/>
      <c r="H439" s="7"/>
      <c r="I439" s="7"/>
      <c r="J439" s="7"/>
      <c r="K439" s="7"/>
      <c r="L439" s="7"/>
      <c r="M439" s="7"/>
      <c r="N439" s="7"/>
      <c r="O439" s="1012"/>
      <c r="P439" s="7"/>
      <c r="Q439" s="8"/>
      <c r="R439" s="685"/>
      <c r="S439" s="133"/>
      <c r="T439" s="133">
        <f>O423-U423</f>
        <v>0</v>
      </c>
      <c r="U439" s="7"/>
      <c r="V439" s="86"/>
      <c r="W439" s="8"/>
      <c r="X439" s="8"/>
      <c r="Y439" s="8"/>
      <c r="Z439" s="8"/>
    </row>
    <row r="440" spans="1:26" s="355" customFormat="1" ht="12" customHeight="1">
      <c r="A440" s="7" t="s">
        <v>466</v>
      </c>
      <c r="B440" s="773">
        <f t="shared" si="2"/>
        <v>0</v>
      </c>
      <c r="C440" s="29"/>
      <c r="D440" s="74" t="s">
        <v>585</v>
      </c>
      <c r="E440" s="1275">
        <f t="shared" si="3"/>
        <v>8020</v>
      </c>
      <c r="F440" s="7"/>
      <c r="G440" s="133"/>
      <c r="H440" s="7"/>
      <c r="I440" s="7"/>
      <c r="J440" s="7"/>
      <c r="K440" s="7"/>
      <c r="L440" s="7"/>
      <c r="M440" s="7"/>
      <c r="N440" s="7"/>
      <c r="O440" s="1012"/>
      <c r="P440" s="7"/>
      <c r="Q440" s="8"/>
      <c r="R440" s="685"/>
      <c r="S440" s="133"/>
      <c r="T440" s="133"/>
      <c r="U440" s="784"/>
      <c r="V440" s="86"/>
      <c r="W440" s="8"/>
      <c r="X440" s="8"/>
      <c r="Y440" s="8"/>
      <c r="Z440" s="8"/>
    </row>
    <row r="441" spans="1:26" s="355" customFormat="1" ht="12" customHeight="1">
      <c r="A441" s="7" t="s">
        <v>466</v>
      </c>
      <c r="B441" s="773">
        <f t="shared" si="2"/>
        <v>0</v>
      </c>
      <c r="C441" s="29"/>
      <c r="D441" s="74" t="s">
        <v>585</v>
      </c>
      <c r="E441" s="1275">
        <f t="shared" si="3"/>
        <v>16040</v>
      </c>
      <c r="F441" s="7"/>
      <c r="G441" s="133"/>
      <c r="H441" s="7"/>
      <c r="I441" s="7"/>
      <c r="J441" s="7"/>
      <c r="K441" s="7"/>
      <c r="L441" s="7"/>
      <c r="M441" s="7"/>
      <c r="N441" s="7"/>
      <c r="O441" s="1012"/>
      <c r="P441" s="7"/>
      <c r="Q441" s="8"/>
      <c r="R441" s="685"/>
      <c r="S441" s="133"/>
      <c r="T441" s="133"/>
      <c r="U441" s="784"/>
      <c r="V441" s="86"/>
      <c r="W441" s="8"/>
      <c r="X441" s="8"/>
      <c r="Y441" s="8"/>
      <c r="Z441" s="8"/>
    </row>
    <row r="442" spans="1:26" s="757" customFormat="1" ht="12" customHeight="1">
      <c r="A442" s="7" t="s">
        <v>466</v>
      </c>
      <c r="B442" s="773">
        <f t="shared" si="2"/>
        <v>0</v>
      </c>
      <c r="C442" s="29"/>
      <c r="D442" s="74" t="s">
        <v>585</v>
      </c>
      <c r="E442" s="1275">
        <f t="shared" si="3"/>
        <v>32080</v>
      </c>
      <c r="F442" s="7"/>
      <c r="G442" s="133"/>
      <c r="H442" s="7"/>
      <c r="I442" s="7"/>
      <c r="J442" s="7"/>
      <c r="K442" s="7"/>
      <c r="L442" s="7"/>
      <c r="M442" s="7"/>
      <c r="N442" s="7"/>
      <c r="O442" s="1012"/>
      <c r="P442" s="7"/>
      <c r="Q442" s="8"/>
      <c r="R442" s="685"/>
      <c r="S442" s="133"/>
      <c r="T442" s="133"/>
      <c r="U442" s="784"/>
      <c r="V442" s="86"/>
      <c r="W442" s="8"/>
      <c r="X442" s="8"/>
      <c r="Y442" s="8"/>
      <c r="Z442" s="8"/>
    </row>
    <row r="443" spans="1:26" s="383" customFormat="1" ht="12" customHeight="1">
      <c r="A443" s="7" t="s">
        <v>466</v>
      </c>
      <c r="B443" s="773">
        <f t="shared" ref="B443:B451" si="4">B442/12</f>
        <v>0</v>
      </c>
      <c r="C443" s="29"/>
      <c r="D443" s="74" t="s">
        <v>585</v>
      </c>
      <c r="E443" s="1327">
        <v>6962.6399999999976</v>
      </c>
      <c r="F443" s="7"/>
      <c r="G443" s="133"/>
      <c r="H443" s="7"/>
      <c r="I443" s="7"/>
      <c r="J443" s="7"/>
      <c r="K443" s="8"/>
      <c r="L443" s="7"/>
      <c r="M443" s="7"/>
      <c r="N443" s="7"/>
      <c r="O443" s="1012"/>
      <c r="P443" s="7"/>
      <c r="Q443" s="8"/>
      <c r="R443" s="685"/>
      <c r="S443" s="133"/>
      <c r="T443" s="133"/>
      <c r="U443" s="7"/>
      <c r="V443" s="86"/>
      <c r="W443" s="8"/>
      <c r="X443" s="8"/>
      <c r="Y443" s="8"/>
      <c r="Z443" s="8"/>
    </row>
    <row r="444" spans="1:26" s="408" customFormat="1" ht="12" customHeight="1">
      <c r="A444" s="7" t="s">
        <v>466</v>
      </c>
      <c r="B444" s="773">
        <f t="shared" si="4"/>
        <v>0</v>
      </c>
      <c r="C444" s="29"/>
      <c r="D444" s="74" t="s">
        <v>585</v>
      </c>
      <c r="E444" s="1327">
        <v>6962.6399999999976</v>
      </c>
      <c r="F444" s="7"/>
      <c r="G444" s="133"/>
      <c r="H444" s="7"/>
      <c r="I444" s="7"/>
      <c r="J444" s="7"/>
      <c r="K444" s="8"/>
      <c r="L444" s="7"/>
      <c r="M444" s="7"/>
      <c r="N444" s="7"/>
      <c r="O444" s="1012"/>
      <c r="P444" s="7"/>
      <c r="Q444" s="8"/>
      <c r="R444" s="685"/>
      <c r="S444" s="133"/>
      <c r="T444" s="133"/>
      <c r="U444" s="7"/>
      <c r="V444" s="86"/>
      <c r="W444" s="8"/>
      <c r="X444" s="8"/>
      <c r="Y444" s="8"/>
      <c r="Z444" s="8"/>
    </row>
    <row r="445" spans="1:26" s="355" customFormat="1" ht="12" customHeight="1">
      <c r="A445" s="7" t="s">
        <v>466</v>
      </c>
      <c r="B445" s="773">
        <f t="shared" si="4"/>
        <v>0</v>
      </c>
      <c r="C445" s="29"/>
      <c r="D445" s="74" t="s">
        <v>585</v>
      </c>
      <c r="E445" s="1327">
        <v>6962.6399999999976</v>
      </c>
      <c r="F445" s="7"/>
      <c r="G445" s="133"/>
      <c r="H445" s="7"/>
      <c r="I445" s="7"/>
      <c r="J445" s="7"/>
      <c r="K445" s="404"/>
      <c r="L445" s="404"/>
      <c r="M445" s="7"/>
      <c r="N445" s="7"/>
      <c r="O445" s="1012"/>
      <c r="P445" s="7"/>
      <c r="Q445" s="8"/>
      <c r="R445" s="685"/>
      <c r="S445" s="133"/>
      <c r="T445" s="133"/>
      <c r="U445" s="784"/>
      <c r="V445" s="86"/>
      <c r="W445" s="8"/>
      <c r="X445" s="8"/>
      <c r="Y445" s="8"/>
      <c r="Z445" s="8"/>
    </row>
    <row r="446" spans="1:26" s="355" customFormat="1" ht="12" customHeight="1">
      <c r="A446" s="7" t="s">
        <v>466</v>
      </c>
      <c r="B446" s="773">
        <f t="shared" si="4"/>
        <v>0</v>
      </c>
      <c r="C446" s="29"/>
      <c r="D446" s="74" t="s">
        <v>585</v>
      </c>
      <c r="E446" s="1327">
        <v>6962.6399999999976</v>
      </c>
      <c r="F446" s="7"/>
      <c r="G446" s="133"/>
      <c r="H446" s="7"/>
      <c r="I446" s="7"/>
      <c r="J446" s="7"/>
      <c r="K446" s="404"/>
      <c r="L446" s="404"/>
      <c r="M446" s="7"/>
      <c r="N446" s="7"/>
      <c r="O446" s="1012"/>
      <c r="P446" s="7"/>
      <c r="Q446" s="8"/>
      <c r="R446" s="685"/>
      <c r="S446" s="133"/>
      <c r="T446" s="133"/>
      <c r="U446" s="784"/>
      <c r="V446" s="86"/>
      <c r="W446" s="8"/>
      <c r="X446" s="8"/>
      <c r="Y446" s="8"/>
      <c r="Z446" s="8"/>
    </row>
    <row r="447" spans="1:26" ht="12" customHeight="1" thickBot="1">
      <c r="A447" s="7" t="s">
        <v>466</v>
      </c>
      <c r="B447" s="773">
        <f t="shared" si="4"/>
        <v>0</v>
      </c>
      <c r="C447" s="29"/>
      <c r="D447" s="74" t="s">
        <v>585</v>
      </c>
      <c r="E447" s="1327">
        <v>6962.6399999999976</v>
      </c>
      <c r="F447" s="7"/>
      <c r="G447" s="133"/>
      <c r="H447" s="7"/>
      <c r="I447" s="7"/>
      <c r="J447" s="7"/>
      <c r="K447" s="404"/>
      <c r="L447" s="404"/>
      <c r="M447" s="7"/>
      <c r="N447" s="7"/>
      <c r="O447" s="1012"/>
      <c r="P447" s="7"/>
      <c r="S447" s="133"/>
      <c r="T447" s="133"/>
      <c r="U447" s="7"/>
    </row>
    <row r="448" spans="1:26" ht="12" customHeight="1" thickBot="1">
      <c r="A448" s="18" t="s">
        <v>466</v>
      </c>
      <c r="B448" s="799">
        <f t="shared" si="4"/>
        <v>0</v>
      </c>
      <c r="C448" s="29"/>
      <c r="D448" s="1316" t="s">
        <v>585</v>
      </c>
      <c r="E448" s="1695">
        <v>6962.6399999999976</v>
      </c>
      <c r="F448" s="7"/>
      <c r="G448" s="133"/>
      <c r="H448" s="7"/>
      <c r="I448" s="7"/>
      <c r="J448" s="7"/>
      <c r="K448" s="404"/>
      <c r="L448" s="404"/>
      <c r="M448" s="7"/>
      <c r="N448" s="7"/>
      <c r="O448" s="1012"/>
      <c r="P448" s="7"/>
      <c r="S448" s="133"/>
      <c r="T448" s="133"/>
      <c r="U448" s="870"/>
    </row>
    <row r="449" spans="1:26" ht="12" customHeight="1" thickBot="1">
      <c r="A449" s="768" t="s">
        <v>466</v>
      </c>
      <c r="B449" s="800">
        <f t="shared" si="4"/>
        <v>0</v>
      </c>
      <c r="C449" s="1295"/>
      <c r="D449" s="1313" t="s">
        <v>585</v>
      </c>
      <c r="E449" s="1332">
        <v>6962.6399999999976</v>
      </c>
      <c r="K449" s="15"/>
      <c r="N449" s="49"/>
      <c r="O449" s="1035"/>
    </row>
    <row r="450" spans="1:26" ht="12" customHeight="1" thickBot="1">
      <c r="A450" s="7" t="s">
        <v>466</v>
      </c>
      <c r="B450" s="773">
        <f t="shared" si="4"/>
        <v>0</v>
      </c>
      <c r="C450" s="29"/>
      <c r="D450" s="1581" t="s">
        <v>3551</v>
      </c>
      <c r="E450" s="1127">
        <v>1500</v>
      </c>
      <c r="K450" s="1518">
        <f>43200/600</f>
        <v>72</v>
      </c>
      <c r="L450" s="439">
        <f>4367.5+U436</f>
        <v>4367.5</v>
      </c>
      <c r="N450" s="49"/>
      <c r="O450" s="1035"/>
      <c r="Q450" s="8" t="s">
        <v>3262</v>
      </c>
      <c r="U450" s="132"/>
    </row>
    <row r="451" spans="1:26" ht="12" customHeight="1" thickBot="1">
      <c r="A451" s="18" t="s">
        <v>466</v>
      </c>
      <c r="B451" s="799">
        <f t="shared" si="4"/>
        <v>0</v>
      </c>
      <c r="C451" s="29"/>
      <c r="D451" s="1313"/>
      <c r="E451" s="1700"/>
      <c r="K451" s="15"/>
      <c r="N451" s="49"/>
      <c r="O451" s="1035"/>
      <c r="Q451" s="8" t="s">
        <v>3262</v>
      </c>
      <c r="U451" s="132"/>
    </row>
    <row r="452" spans="1:26" ht="12" customHeight="1" thickBot="1">
      <c r="A452" s="852" t="s">
        <v>463</v>
      </c>
      <c r="B452" s="1660">
        <f>SUM(R435:R451)</f>
        <v>0</v>
      </c>
      <c r="C452" s="1297" t="e">
        <f t="shared" ref="C452:C468" si="5">B451/B452</f>
        <v>#DIV/0!</v>
      </c>
      <c r="D452" s="1324"/>
      <c r="E452" s="784"/>
      <c r="F452" s="7"/>
      <c r="G452" s="133"/>
      <c r="H452" s="7"/>
      <c r="I452" s="7"/>
      <c r="J452" s="7"/>
      <c r="K452" s="7"/>
      <c r="L452" s="7"/>
      <c r="M452" s="7"/>
      <c r="P452" s="7"/>
      <c r="S452" s="133"/>
      <c r="T452" s="133"/>
      <c r="U452" s="7"/>
    </row>
    <row r="453" spans="1:26" ht="12" customHeight="1" thickBot="1">
      <c r="A453" s="510" t="s">
        <v>463</v>
      </c>
      <c r="B453" s="1666">
        <f>SUM(R434:R452)</f>
        <v>0</v>
      </c>
      <c r="C453" s="1292" t="e">
        <f t="shared" si="5"/>
        <v>#DIV/0!</v>
      </c>
      <c r="D453" s="786" t="s">
        <v>575</v>
      </c>
      <c r="E453" s="541"/>
      <c r="F453" s="7"/>
      <c r="G453" s="133"/>
      <c r="H453" s="7"/>
      <c r="I453" s="7"/>
      <c r="J453" s="7"/>
      <c r="K453" s="7"/>
      <c r="L453" s="7"/>
      <c r="M453" s="7"/>
      <c r="P453" s="7"/>
      <c r="S453" s="133"/>
      <c r="T453" s="133"/>
      <c r="U453" s="7"/>
    </row>
    <row r="454" spans="1:26" ht="12" customHeight="1" thickBot="1">
      <c r="A454" s="768" t="s">
        <v>463</v>
      </c>
      <c r="B454" s="769">
        <f>SUM(R436:R453)</f>
        <v>0</v>
      </c>
      <c r="C454" s="1292" t="e">
        <f t="shared" si="5"/>
        <v>#DIV/0!</v>
      </c>
      <c r="D454" s="786" t="s">
        <v>575</v>
      </c>
      <c r="E454" s="541">
        <f>177*2</f>
        <v>354</v>
      </c>
      <c r="F454" s="7"/>
      <c r="G454" s="133"/>
      <c r="I454" s="7"/>
      <c r="J454" s="7"/>
      <c r="L454" s="7"/>
      <c r="M454" s="7"/>
      <c r="P454" s="7"/>
      <c r="S454" s="133"/>
      <c r="T454" s="133"/>
      <c r="U454" s="7"/>
    </row>
    <row r="455" spans="1:26" ht="12" customHeight="1">
      <c r="A455" s="7" t="s">
        <v>463</v>
      </c>
      <c r="B455" s="1274">
        <f>SUM(R422:R454)</f>
        <v>0</v>
      </c>
      <c r="C455" s="1292" t="e">
        <f t="shared" si="5"/>
        <v>#DIV/0!</v>
      </c>
      <c r="D455" s="1266" t="s">
        <v>575</v>
      </c>
      <c r="F455" s="7"/>
      <c r="G455" s="133"/>
      <c r="H455" s="7"/>
      <c r="I455" s="7"/>
      <c r="J455" s="7"/>
      <c r="K455" s="7"/>
      <c r="L455" s="7"/>
      <c r="M455" s="7"/>
      <c r="N455" s="7"/>
      <c r="O455" s="1012" t="s">
        <v>771</v>
      </c>
      <c r="P455" s="7"/>
      <c r="S455" s="133"/>
      <c r="T455" s="133"/>
      <c r="U455" s="7"/>
    </row>
    <row r="456" spans="1:26" ht="12" customHeight="1">
      <c r="A456" s="510" t="s">
        <v>463</v>
      </c>
      <c r="B456" s="1274">
        <f>SUM(R422:R455)</f>
        <v>0</v>
      </c>
      <c r="C456" s="1292" t="e">
        <f t="shared" si="5"/>
        <v>#DIV/0!</v>
      </c>
      <c r="D456" s="1266" t="s">
        <v>575</v>
      </c>
      <c r="F456" s="7"/>
      <c r="G456" s="133"/>
      <c r="H456" s="7"/>
      <c r="I456" s="7"/>
      <c r="J456" s="7"/>
      <c r="K456" s="7"/>
      <c r="L456" s="7"/>
      <c r="M456" s="7"/>
      <c r="N456" s="7"/>
      <c r="O456" s="1012" t="s">
        <v>771</v>
      </c>
      <c r="P456" s="7"/>
      <c r="S456" s="133"/>
      <c r="T456" s="133"/>
      <c r="U456" s="1369">
        <f>O446-U446+O447-U447+70+5*3*14</f>
        <v>280</v>
      </c>
    </row>
    <row r="457" spans="1:26" ht="12" customHeight="1">
      <c r="A457" s="510" t="s">
        <v>463</v>
      </c>
      <c r="B457" s="1274">
        <f>SUM(R411:R456)</f>
        <v>0</v>
      </c>
      <c r="C457" s="1292" t="e">
        <f t="shared" si="5"/>
        <v>#DIV/0!</v>
      </c>
      <c r="D457" s="1266" t="s">
        <v>575</v>
      </c>
      <c r="F457" s="7"/>
      <c r="G457" s="133"/>
      <c r="H457" s="7"/>
      <c r="I457" s="7"/>
      <c r="J457" s="7"/>
      <c r="K457" s="7"/>
      <c r="L457" s="7"/>
      <c r="M457" s="7"/>
      <c r="N457" s="7"/>
      <c r="O457" s="1012"/>
      <c r="P457" s="7"/>
      <c r="S457" s="133"/>
      <c r="T457" s="133"/>
      <c r="U457" s="1361"/>
    </row>
    <row r="458" spans="1:26" s="856" customFormat="1" ht="12" customHeight="1">
      <c r="A458" s="7" t="s">
        <v>463</v>
      </c>
      <c r="B458" s="1274">
        <f>SUM(R398:R457)</f>
        <v>2</v>
      </c>
      <c r="C458" s="1292">
        <f t="shared" si="5"/>
        <v>0</v>
      </c>
      <c r="D458" s="1266" t="s">
        <v>575</v>
      </c>
      <c r="E458" s="8"/>
      <c r="F458" s="7"/>
      <c r="G458" s="133"/>
      <c r="H458" s="7"/>
      <c r="I458" s="7"/>
      <c r="J458" s="7"/>
      <c r="K458" s="7"/>
      <c r="L458" s="7"/>
      <c r="M458" s="7"/>
      <c r="N458" s="7"/>
      <c r="O458" s="1012"/>
      <c r="P458" s="7"/>
      <c r="Q458" s="8"/>
      <c r="R458" s="685"/>
      <c r="S458" s="133"/>
      <c r="T458" s="133"/>
      <c r="U458" s="74"/>
      <c r="V458" s="86"/>
      <c r="W458" s="8"/>
      <c r="X458" s="8"/>
      <c r="Y458" s="8"/>
      <c r="Z458" s="8"/>
    </row>
    <row r="459" spans="1:26" ht="12" customHeight="1">
      <c r="A459" s="7" t="s">
        <v>463</v>
      </c>
      <c r="B459" s="1270">
        <f>SUM(R387:R458)</f>
        <v>2</v>
      </c>
      <c r="C459" s="1292">
        <f t="shared" si="5"/>
        <v>1</v>
      </c>
      <c r="D459" s="1266" t="s">
        <v>575</v>
      </c>
      <c r="F459" s="7"/>
      <c r="G459" s="133"/>
      <c r="H459" s="7"/>
      <c r="I459" s="7"/>
      <c r="J459" s="7"/>
      <c r="K459" s="7"/>
      <c r="L459" s="7"/>
      <c r="M459" s="7"/>
      <c r="N459" s="7"/>
      <c r="O459" s="1012"/>
      <c r="P459" s="7"/>
      <c r="S459" s="133"/>
      <c r="T459" s="133"/>
      <c r="U459" s="1361"/>
    </row>
    <row r="460" spans="1:26" s="115" customFormat="1" ht="12" customHeight="1">
      <c r="A460" s="7" t="s">
        <v>463</v>
      </c>
      <c r="B460" s="1270">
        <f>SUM(R387:R459)</f>
        <v>2</v>
      </c>
      <c r="C460" s="1292">
        <f t="shared" si="5"/>
        <v>1</v>
      </c>
      <c r="D460" s="1266" t="s">
        <v>575</v>
      </c>
      <c r="E460" s="8"/>
      <c r="F460" s="7"/>
      <c r="G460" s="133"/>
      <c r="H460" s="7"/>
      <c r="I460" s="7"/>
      <c r="J460" s="7"/>
      <c r="K460" s="7"/>
      <c r="L460" s="7"/>
      <c r="M460" s="7"/>
      <c r="N460" s="7"/>
      <c r="O460" s="1012"/>
      <c r="P460" s="7"/>
      <c r="Q460" s="8"/>
      <c r="R460" s="685"/>
      <c r="S460" s="133">
        <v>3270</v>
      </c>
      <c r="T460" s="133"/>
      <c r="U460" s="1361"/>
      <c r="V460" s="86">
        <f xml:space="preserve"> 3270/4</f>
        <v>817.5</v>
      </c>
      <c r="W460" s="8"/>
      <c r="X460" s="8"/>
      <c r="Y460" s="8"/>
      <c r="Z460" s="8"/>
    </row>
    <row r="461" spans="1:26" ht="12" customHeight="1">
      <c r="A461" s="7" t="s">
        <v>463</v>
      </c>
      <c r="B461" s="1270">
        <f>SUM(R431:R460)</f>
        <v>0</v>
      </c>
      <c r="C461" s="1292" t="e">
        <f t="shared" si="5"/>
        <v>#DIV/0!</v>
      </c>
      <c r="D461" s="1266" t="s">
        <v>575</v>
      </c>
      <c r="F461" s="7"/>
      <c r="G461" s="133"/>
      <c r="I461" s="7"/>
      <c r="J461" s="7"/>
      <c r="K461" s="7"/>
      <c r="L461" s="7">
        <f>(3*3*7+1990)-((3*3*7+1990)/4)</f>
        <v>1539.75</v>
      </c>
      <c r="M461" s="7"/>
      <c r="N461" s="7"/>
      <c r="O461" s="1012"/>
      <c r="P461" s="7"/>
      <c r="S461" s="133"/>
      <c r="T461" s="133"/>
      <c r="U461" s="1361"/>
    </row>
    <row r="462" spans="1:26" ht="12" customHeight="1">
      <c r="A462" s="7" t="s">
        <v>463</v>
      </c>
      <c r="B462" s="1274">
        <f>SUM(R437:R460)</f>
        <v>0</v>
      </c>
      <c r="C462" s="1292" t="e">
        <f t="shared" si="5"/>
        <v>#DIV/0!</v>
      </c>
      <c r="D462" s="1266" t="s">
        <v>575</v>
      </c>
      <c r="F462" s="7"/>
      <c r="G462" s="133"/>
      <c r="I462" s="7"/>
      <c r="J462" s="7"/>
      <c r="K462" s="404"/>
      <c r="M462" s="7"/>
      <c r="O462" s="1012"/>
      <c r="P462" s="7"/>
      <c r="S462" s="133"/>
      <c r="T462" s="133"/>
      <c r="U462" s="1361"/>
    </row>
    <row r="463" spans="1:26" s="355" customFormat="1" ht="12" customHeight="1">
      <c r="A463" s="7" t="s">
        <v>463</v>
      </c>
      <c r="B463" s="1274">
        <f>SUM(R430:R461)</f>
        <v>0</v>
      </c>
      <c r="C463" s="1292" t="e">
        <f t="shared" si="5"/>
        <v>#DIV/0!</v>
      </c>
      <c r="D463" s="1266" t="s">
        <v>575</v>
      </c>
      <c r="E463" s="8"/>
      <c r="F463" s="7"/>
      <c r="G463" s="133"/>
      <c r="H463" s="8"/>
      <c r="I463" s="870"/>
      <c r="J463" s="870"/>
      <c r="K463" s="872"/>
      <c r="L463" s="457"/>
      <c r="M463" s="870"/>
      <c r="N463" s="457"/>
      <c r="O463" s="1012"/>
      <c r="P463" s="7"/>
      <c r="Q463" s="8"/>
      <c r="R463" s="685"/>
      <c r="S463" s="133"/>
      <c r="T463" s="133"/>
      <c r="U463" s="74"/>
      <c r="V463" s="86"/>
      <c r="W463" s="8"/>
      <c r="X463" s="8"/>
      <c r="Y463" s="8"/>
      <c r="Z463" s="8"/>
    </row>
    <row r="464" spans="1:26" s="115" customFormat="1" ht="12" customHeight="1">
      <c r="A464" s="7" t="s">
        <v>463</v>
      </c>
      <c r="B464" s="1270">
        <f>SUM(R438:R462)</f>
        <v>0</v>
      </c>
      <c r="C464" s="1292" t="e">
        <f t="shared" si="5"/>
        <v>#DIV/0!</v>
      </c>
      <c r="D464" s="1266" t="s">
        <v>575</v>
      </c>
      <c r="E464" s="8"/>
      <c r="F464" s="7"/>
      <c r="G464" s="133"/>
      <c r="H464" s="8"/>
      <c r="I464" s="870"/>
      <c r="J464" s="870"/>
      <c r="K464" s="872"/>
      <c r="L464" s="457"/>
      <c r="M464" s="870"/>
      <c r="N464" s="457"/>
      <c r="O464" s="1012"/>
      <c r="P464" s="7"/>
      <c r="Q464" s="8"/>
      <c r="R464" s="685"/>
      <c r="S464" s="133"/>
      <c r="T464" s="133"/>
      <c r="U464" s="74"/>
      <c r="V464" s="86"/>
      <c r="W464" s="8"/>
      <c r="X464" s="8"/>
      <c r="Y464" s="8"/>
      <c r="Z464" s="8"/>
    </row>
    <row r="465" spans="1:26" s="355" customFormat="1" ht="12" customHeight="1">
      <c r="A465" s="7" t="s">
        <v>463</v>
      </c>
      <c r="B465" s="1270">
        <f>SUM(R423:R463)</f>
        <v>0</v>
      </c>
      <c r="C465" s="1292" t="e">
        <f t="shared" si="5"/>
        <v>#DIV/0!</v>
      </c>
      <c r="D465" s="1266" t="s">
        <v>575</v>
      </c>
      <c r="E465" s="8"/>
      <c r="F465" s="7"/>
      <c r="G465" s="133"/>
      <c r="H465" s="8"/>
      <c r="I465" s="870"/>
      <c r="J465" s="870"/>
      <c r="K465" s="872"/>
      <c r="L465" s="457"/>
      <c r="M465" s="870"/>
      <c r="N465" s="457"/>
      <c r="O465" s="1012"/>
      <c r="P465" s="7"/>
      <c r="Q465" s="8"/>
      <c r="R465" s="685"/>
      <c r="S465" s="133"/>
      <c r="T465" s="133"/>
      <c r="U465" s="1733"/>
      <c r="V465" s="86"/>
      <c r="W465" s="8"/>
      <c r="X465" s="8"/>
      <c r="Y465" s="8"/>
      <c r="Z465" s="8"/>
    </row>
    <row r="466" spans="1:26" s="355" customFormat="1" ht="12" customHeight="1">
      <c r="A466" s="7" t="s">
        <v>463</v>
      </c>
      <c r="B466" s="1270">
        <f>SUM(R435:R465)</f>
        <v>0</v>
      </c>
      <c r="C466" s="1292" t="e">
        <f t="shared" si="5"/>
        <v>#DIV/0!</v>
      </c>
      <c r="D466" s="1266" t="s">
        <v>575</v>
      </c>
      <c r="E466" s="8"/>
      <c r="F466" s="407"/>
      <c r="G466" s="999"/>
      <c r="H466" s="998"/>
      <c r="I466" s="407"/>
      <c r="J466" s="407"/>
      <c r="K466" s="407"/>
      <c r="L466" s="998"/>
      <c r="M466" s="407"/>
      <c r="N466" s="1121"/>
      <c r="O466" s="1048"/>
      <c r="P466" s="407"/>
      <c r="Q466" s="407"/>
      <c r="R466" s="1000"/>
      <c r="S466" s="999"/>
      <c r="T466" s="999"/>
      <c r="U466" s="1721"/>
      <c r="V466" s="1605"/>
      <c r="W466" s="407"/>
      <c r="X466" s="407"/>
      <c r="Y466" s="407"/>
      <c r="Z466" s="407"/>
    </row>
    <row r="467" spans="1:26" s="115" customFormat="1" ht="12" customHeight="1">
      <c r="A467" s="7" t="s">
        <v>463</v>
      </c>
      <c r="B467" s="1270">
        <f>SUM(R440:R466)</f>
        <v>0</v>
      </c>
      <c r="C467" s="1292" t="e">
        <f t="shared" si="5"/>
        <v>#DIV/0!</v>
      </c>
      <c r="D467" s="1685" t="s">
        <v>575</v>
      </c>
      <c r="E467" s="132">
        <v>190.71</v>
      </c>
      <c r="F467" s="407"/>
      <c r="G467" s="999"/>
      <c r="H467" s="371"/>
      <c r="I467" s="407"/>
      <c r="J467" s="407"/>
      <c r="K467" s="407"/>
      <c r="L467" s="998"/>
      <c r="M467" s="407"/>
      <c r="N467" s="1121"/>
      <c r="O467" s="1048"/>
      <c r="P467" s="407"/>
      <c r="Q467" s="407"/>
      <c r="R467" s="1000"/>
      <c r="S467" s="999"/>
      <c r="T467" s="999"/>
      <c r="U467" s="1730"/>
      <c r="V467" s="1605"/>
      <c r="W467" s="407"/>
      <c r="X467" s="407"/>
      <c r="Y467" s="407"/>
      <c r="Z467" s="407"/>
    </row>
    <row r="468" spans="1:26" s="451" customFormat="1" ht="12" customHeight="1">
      <c r="A468" s="7" t="s">
        <v>463</v>
      </c>
      <c r="B468" s="1270">
        <f>SUM(R437:R467)</f>
        <v>0</v>
      </c>
      <c r="C468" s="1292" t="e">
        <f t="shared" si="5"/>
        <v>#DIV/0!</v>
      </c>
      <c r="D468" s="1266" t="s">
        <v>575</v>
      </c>
      <c r="E468" s="132"/>
      <c r="F468" s="407"/>
      <c r="G468" s="999"/>
      <c r="H468" s="371"/>
      <c r="I468" s="407"/>
      <c r="J468" s="407"/>
      <c r="K468" s="407"/>
      <c r="L468" s="998"/>
      <c r="M468" s="407"/>
      <c r="N468" s="1121"/>
      <c r="O468" s="1048"/>
      <c r="P468" s="407"/>
      <c r="Q468" s="407"/>
      <c r="R468" s="1000"/>
      <c r="S468" s="999"/>
      <c r="T468" s="999"/>
      <c r="U468" s="1730"/>
      <c r="V468" s="1605"/>
      <c r="W468" s="407"/>
      <c r="X468" s="407"/>
      <c r="Y468" s="407"/>
      <c r="Z468" s="407"/>
    </row>
    <row r="469" spans="1:26" s="355" customFormat="1" ht="12" customHeight="1">
      <c r="A469" s="832" t="s">
        <v>1698</v>
      </c>
      <c r="B469" s="832" t="s">
        <v>1696</v>
      </c>
      <c r="C469" s="833">
        <v>42847</v>
      </c>
      <c r="D469" s="833">
        <v>42854</v>
      </c>
      <c r="E469" s="832"/>
      <c r="F469" s="832"/>
      <c r="G469" s="834"/>
      <c r="H469" s="832" t="s">
        <v>18</v>
      </c>
      <c r="I469" s="832" t="s">
        <v>18</v>
      </c>
      <c r="J469" s="832"/>
      <c r="K469" s="832"/>
      <c r="L469" s="832" t="s">
        <v>1697</v>
      </c>
      <c r="M469" s="832"/>
      <c r="N469" s="835" t="s">
        <v>1743</v>
      </c>
      <c r="O469" s="1028">
        <f>910-136.5+20+70</f>
        <v>863.5</v>
      </c>
      <c r="P469" s="832"/>
      <c r="Q469" s="832" t="s">
        <v>199</v>
      </c>
      <c r="R469" s="886">
        <v>1</v>
      </c>
      <c r="S469" s="834">
        <v>2</v>
      </c>
      <c r="T469" s="834">
        <v>1</v>
      </c>
      <c r="U469" s="836">
        <v>300</v>
      </c>
      <c r="V469" s="837">
        <v>42785</v>
      </c>
      <c r="W469" s="832" t="s">
        <v>1592</v>
      </c>
      <c r="X469" s="832"/>
      <c r="Y469" s="832"/>
      <c r="Z469" s="832"/>
    </row>
    <row r="470" spans="1:26" s="115" customFormat="1" ht="12" customHeight="1">
      <c r="A470" s="7"/>
      <c r="B470" s="7"/>
      <c r="C470" s="29"/>
      <c r="D470" s="29"/>
      <c r="E470" s="7"/>
      <c r="F470" s="7"/>
      <c r="G470" s="133"/>
      <c r="H470" s="7"/>
      <c r="I470" s="7"/>
      <c r="J470" s="7"/>
      <c r="K470" s="7"/>
      <c r="L470" s="7"/>
      <c r="M470" s="7"/>
      <c r="N470" s="7"/>
      <c r="O470" s="1012"/>
      <c r="P470" s="7"/>
      <c r="Q470" s="8"/>
      <c r="R470" s="685"/>
      <c r="S470" s="133"/>
      <c r="T470" s="133"/>
      <c r="U470" s="7"/>
      <c r="V470" s="86"/>
      <c r="W470" s="8"/>
      <c r="X470" s="8"/>
      <c r="Y470" s="8"/>
      <c r="Z470" s="8"/>
    </row>
    <row r="471" spans="1:26" s="355" customFormat="1" ht="12" customHeight="1">
      <c r="A471" s="8"/>
      <c r="B471" s="8"/>
      <c r="C471" s="31"/>
      <c r="D471" s="31"/>
      <c r="E471" s="766"/>
      <c r="F471" s="8"/>
      <c r="G471" s="132"/>
      <c r="H471" s="8"/>
      <c r="I471" s="8"/>
      <c r="J471" s="8"/>
      <c r="K471" s="8"/>
      <c r="L471" s="8"/>
      <c r="M471" s="8"/>
      <c r="N471" s="49"/>
      <c r="O471" s="1014"/>
      <c r="P471" s="8"/>
      <c r="Q471" s="8"/>
      <c r="R471" s="685"/>
      <c r="S471" s="132"/>
      <c r="T471" s="132"/>
      <c r="U471" s="1382"/>
      <c r="V471" s="86"/>
      <c r="W471" s="8"/>
      <c r="X471" s="8"/>
      <c r="Y471" s="8"/>
      <c r="Z471" s="8"/>
    </row>
    <row r="472" spans="1:26" s="355" customFormat="1" ht="12" customHeight="1">
      <c r="A472" s="7"/>
      <c r="B472" s="7"/>
      <c r="C472" s="29"/>
      <c r="D472" s="29"/>
      <c r="E472" s="7"/>
      <c r="F472" s="7"/>
      <c r="G472" s="133"/>
      <c r="H472" s="7"/>
      <c r="I472" s="7"/>
      <c r="J472" s="7"/>
      <c r="K472" s="7"/>
      <c r="L472" s="7"/>
      <c r="M472" s="7"/>
      <c r="N472" s="8"/>
      <c r="O472" s="1015"/>
      <c r="P472" s="7"/>
      <c r="Q472" s="8"/>
      <c r="R472" s="685"/>
      <c r="S472" s="133"/>
      <c r="T472" s="133"/>
      <c r="U472" s="7"/>
      <c r="V472" s="86"/>
      <c r="W472" s="8"/>
      <c r="X472" s="8"/>
      <c r="Y472" s="8"/>
      <c r="Z472" s="8"/>
    </row>
    <row r="473" spans="1:26" s="115" customFormat="1" ht="12" customHeight="1">
      <c r="A473" s="7"/>
      <c r="B473" s="7"/>
      <c r="C473" s="29"/>
      <c r="D473" s="29"/>
      <c r="E473" s="7"/>
      <c r="F473" s="7"/>
      <c r="G473" s="133"/>
      <c r="H473" s="7"/>
      <c r="I473" s="7"/>
      <c r="J473" s="7"/>
      <c r="K473" s="7"/>
      <c r="L473" s="7"/>
      <c r="M473" s="7"/>
      <c r="N473" s="7"/>
      <c r="O473" s="1012"/>
      <c r="P473" s="7"/>
      <c r="Q473" s="8"/>
      <c r="R473" s="685"/>
      <c r="S473" s="133"/>
      <c r="T473" s="133"/>
      <c r="U473" s="7"/>
      <c r="V473" s="86"/>
      <c r="W473" s="8"/>
      <c r="X473" s="8"/>
      <c r="Y473" s="8"/>
      <c r="Z473" s="8"/>
    </row>
    <row r="474" spans="1:26" s="115" customFormat="1" ht="12" customHeight="1">
      <c r="A474" s="7"/>
      <c r="B474" s="7"/>
      <c r="C474" s="29"/>
      <c r="D474" s="29"/>
      <c r="E474" s="7"/>
      <c r="F474" s="7"/>
      <c r="G474" s="133"/>
      <c r="H474" s="7"/>
      <c r="I474" s="7"/>
      <c r="J474" s="7"/>
      <c r="K474" s="7"/>
      <c r="L474" s="7"/>
      <c r="M474" s="7"/>
      <c r="N474" s="7"/>
      <c r="O474" s="1012"/>
      <c r="P474" s="7"/>
      <c r="Q474" s="8"/>
      <c r="R474" s="685"/>
      <c r="S474" s="133"/>
      <c r="T474" s="133"/>
      <c r="U474" s="784"/>
      <c r="V474" s="86"/>
      <c r="W474" s="8"/>
      <c r="X474" s="8"/>
      <c r="Y474" s="8"/>
      <c r="Z474" s="8"/>
    </row>
    <row r="475" spans="1:26" s="115" customFormat="1" ht="12" customHeight="1">
      <c r="A475" s="7"/>
      <c r="B475" s="7"/>
      <c r="C475" s="29"/>
      <c r="D475" s="29"/>
      <c r="E475" s="7"/>
      <c r="F475" s="7"/>
      <c r="G475" s="133"/>
      <c r="H475" s="7"/>
      <c r="I475" s="7"/>
      <c r="J475" s="7"/>
      <c r="K475" s="7"/>
      <c r="L475" s="7"/>
      <c r="M475" s="7"/>
      <c r="N475" s="7"/>
      <c r="O475" s="1012"/>
      <c r="P475" s="7"/>
      <c r="Q475" s="8"/>
      <c r="R475" s="685"/>
      <c r="S475" s="133"/>
      <c r="T475" s="133"/>
      <c r="U475" s="784"/>
      <c r="V475" s="86"/>
      <c r="W475" s="8"/>
      <c r="X475" s="8"/>
      <c r="Y475" s="8"/>
      <c r="Z475" s="8"/>
    </row>
    <row r="476" spans="1:26" s="115" customFormat="1" ht="12" customHeight="1">
      <c r="A476" s="7"/>
      <c r="B476" s="7"/>
      <c r="C476" s="29"/>
      <c r="D476" s="29"/>
      <c r="E476" s="7"/>
      <c r="F476" s="7"/>
      <c r="G476" s="133"/>
      <c r="H476" s="7"/>
      <c r="I476" s="7"/>
      <c r="J476" s="7"/>
      <c r="K476" s="7"/>
      <c r="L476" s="7"/>
      <c r="M476" s="7"/>
      <c r="N476" s="7"/>
      <c r="O476" s="1012"/>
      <c r="P476" s="7"/>
      <c r="Q476" s="8"/>
      <c r="R476" s="685"/>
      <c r="S476" s="133"/>
      <c r="T476" s="133"/>
      <c r="U476" s="784"/>
      <c r="V476" s="86"/>
      <c r="W476" s="8"/>
      <c r="X476" s="8"/>
      <c r="Y476" s="8"/>
      <c r="Z476" s="8"/>
    </row>
    <row r="477" spans="1:26" s="355" customFormat="1" ht="12" customHeight="1">
      <c r="A477" s="8"/>
      <c r="B477" s="8"/>
      <c r="C477" s="31"/>
      <c r="D477" s="31"/>
      <c r="E477" s="766"/>
      <c r="F477" s="8"/>
      <c r="G477" s="132"/>
      <c r="H477" s="8"/>
      <c r="I477" s="8"/>
      <c r="J477" s="8"/>
      <c r="K477" s="8"/>
      <c r="L477" s="8"/>
      <c r="M477" s="8"/>
      <c r="N477" s="49"/>
      <c r="O477" s="1014"/>
      <c r="P477" s="8"/>
      <c r="Q477" s="8"/>
      <c r="R477" s="685"/>
      <c r="S477" s="132"/>
      <c r="T477" s="132"/>
      <c r="U477" s="19"/>
      <c r="V477" s="86"/>
      <c r="W477" s="8"/>
      <c r="X477" s="8"/>
      <c r="Y477" s="8"/>
      <c r="Z477" s="8"/>
    </row>
    <row r="478" spans="1:26" s="115" customFormat="1" ht="12" customHeight="1">
      <c r="A478" s="7"/>
      <c r="B478" s="7"/>
      <c r="C478" s="29"/>
      <c r="D478" s="1266" t="s">
        <v>576</v>
      </c>
      <c r="E478" s="8"/>
      <c r="F478" s="7"/>
      <c r="G478" s="133"/>
      <c r="H478" s="7"/>
      <c r="I478" s="7"/>
      <c r="J478" s="7"/>
      <c r="K478" s="7"/>
      <c r="L478" s="7"/>
      <c r="M478" s="7"/>
      <c r="N478" s="8"/>
      <c r="O478" s="1015"/>
      <c r="P478" s="7"/>
      <c r="Q478" s="8"/>
      <c r="R478" s="685"/>
      <c r="S478" s="133"/>
      <c r="T478" s="133"/>
      <c r="U478" s="784"/>
      <c r="V478" s="86"/>
      <c r="W478" s="8"/>
      <c r="X478" s="8"/>
      <c r="Y478" s="8"/>
      <c r="Z478" s="8"/>
    </row>
    <row r="479" spans="1:26" s="355" customFormat="1" ht="12" customHeight="1">
      <c r="A479" s="7"/>
      <c r="B479" s="7"/>
      <c r="C479" s="29"/>
      <c r="D479" s="1266" t="s">
        <v>577</v>
      </c>
      <c r="E479" s="8">
        <v>712</v>
      </c>
      <c r="F479" s="7"/>
      <c r="G479" s="133"/>
      <c r="H479" s="7"/>
      <c r="I479" s="7"/>
      <c r="J479" s="7"/>
      <c r="K479" s="7"/>
      <c r="L479" s="7"/>
      <c r="M479" s="7"/>
      <c r="N479" s="7"/>
      <c r="O479" s="1012"/>
      <c r="P479" s="7"/>
      <c r="Q479" s="8"/>
      <c r="R479" s="685"/>
      <c r="S479" s="133"/>
      <c r="T479" s="133"/>
      <c r="U479" s="784"/>
      <c r="V479" s="86"/>
      <c r="W479" s="8"/>
      <c r="X479" s="8"/>
      <c r="Y479" s="8"/>
      <c r="Z479" s="8"/>
    </row>
    <row r="480" spans="1:26" s="498" customFormat="1" ht="12" customHeight="1">
      <c r="A480" s="8"/>
      <c r="B480" s="8"/>
      <c r="C480" s="31"/>
      <c r="D480" s="31"/>
      <c r="E480" s="8"/>
      <c r="F480" s="8"/>
      <c r="G480" s="132"/>
      <c r="H480" s="8"/>
      <c r="I480" s="8"/>
      <c r="J480" s="8"/>
      <c r="K480" s="8"/>
      <c r="L480" s="8"/>
      <c r="M480" s="8"/>
      <c r="N480" s="49"/>
      <c r="O480" s="1014"/>
      <c r="P480" s="8"/>
      <c r="Q480" s="8"/>
      <c r="R480" s="685"/>
      <c r="S480" s="132"/>
      <c r="T480" s="132"/>
      <c r="U480" s="19"/>
      <c r="V480" s="86"/>
      <c r="W480" s="8"/>
      <c r="X480" s="8"/>
      <c r="Y480" s="8"/>
      <c r="Z480" s="8"/>
    </row>
    <row r="481" spans="1:26" s="115" customFormat="1" ht="12" customHeight="1">
      <c r="A481" s="9"/>
      <c r="B481" s="8"/>
      <c r="C481" s="31"/>
      <c r="D481" s="31"/>
      <c r="E481" s="8"/>
      <c r="F481" s="8"/>
      <c r="G481" s="132"/>
      <c r="H481" s="8"/>
      <c r="I481" s="8"/>
      <c r="J481" s="8"/>
      <c r="K481" s="8"/>
      <c r="L481" s="8"/>
      <c r="M481" s="8"/>
      <c r="N481" s="8"/>
      <c r="O481" s="1350"/>
      <c r="P481" s="8"/>
      <c r="Q481" s="8"/>
      <c r="R481" s="685"/>
      <c r="S481" s="132"/>
      <c r="T481" s="132"/>
      <c r="U481" s="19"/>
      <c r="V481" s="86"/>
      <c r="W481" s="8"/>
      <c r="X481" s="8"/>
      <c r="Y481" s="8"/>
      <c r="Z481" s="8"/>
    </row>
    <row r="482" spans="1:26" s="115" customFormat="1" ht="12" customHeight="1">
      <c r="A482" s="8"/>
      <c r="B482" s="8"/>
      <c r="C482" s="31"/>
      <c r="D482" s="31"/>
      <c r="E482" s="8"/>
      <c r="F482" s="8"/>
      <c r="G482" s="132"/>
      <c r="H482" s="8"/>
      <c r="I482" s="8"/>
      <c r="J482" s="8"/>
      <c r="K482" s="8"/>
      <c r="L482" s="8"/>
      <c r="M482" s="8"/>
      <c r="N482" s="49"/>
      <c r="O482" s="1014"/>
      <c r="P482" s="8"/>
      <c r="Q482" s="8"/>
      <c r="R482" s="685"/>
      <c r="S482" s="132"/>
      <c r="T482" s="132"/>
      <c r="U482" s="19"/>
      <c r="V482" s="86"/>
      <c r="W482" s="8"/>
      <c r="X482" s="8"/>
      <c r="Y482" s="8"/>
      <c r="Z482" s="8"/>
    </row>
    <row r="483" spans="1:26" s="355" customFormat="1" ht="12" customHeight="1">
      <c r="A483" s="8"/>
      <c r="B483" s="8"/>
      <c r="C483" s="31"/>
      <c r="D483" s="31"/>
      <c r="E483" s="8"/>
      <c r="F483" s="8"/>
      <c r="G483" s="132"/>
      <c r="H483" s="8"/>
      <c r="I483" s="8"/>
      <c r="J483" s="8"/>
      <c r="K483" s="8"/>
      <c r="L483" s="8"/>
      <c r="M483" s="8"/>
      <c r="N483" s="49"/>
      <c r="O483" s="1014"/>
      <c r="P483" s="8"/>
      <c r="Q483" s="8"/>
      <c r="R483" s="685"/>
      <c r="S483" s="132"/>
      <c r="T483" s="132"/>
      <c r="U483" s="19"/>
      <c r="V483" s="86"/>
      <c r="W483" s="8"/>
      <c r="X483" s="8"/>
      <c r="Y483" s="8"/>
      <c r="Z483" s="8"/>
    </row>
    <row r="484" spans="1:26" s="451" customFormat="1" ht="12" customHeight="1">
      <c r="A484" s="7"/>
      <c r="B484" s="7"/>
      <c r="C484" s="29"/>
      <c r="D484" s="1266" t="s">
        <v>576</v>
      </c>
      <c r="E484" s="8">
        <f>71*10</f>
        <v>710</v>
      </c>
      <c r="F484" s="7"/>
      <c r="G484" s="133"/>
      <c r="H484" s="7"/>
      <c r="I484" s="7"/>
      <c r="J484" s="7"/>
      <c r="K484" s="797"/>
      <c r="L484" s="7"/>
      <c r="M484" s="7"/>
      <c r="N484" s="8"/>
      <c r="O484" s="1015"/>
      <c r="P484" s="7"/>
      <c r="Q484" s="8"/>
      <c r="R484" s="685"/>
      <c r="S484" s="133"/>
      <c r="T484" s="133"/>
      <c r="U484" s="7"/>
      <c r="V484" s="86"/>
      <c r="W484" s="8"/>
      <c r="X484" s="8"/>
      <c r="Y484" s="8"/>
      <c r="Z484" s="8"/>
    </row>
    <row r="485" spans="1:26" s="355" customFormat="1" ht="12" customHeight="1">
      <c r="A485" s="7"/>
      <c r="B485" s="7"/>
      <c r="C485" s="29"/>
      <c r="D485" s="1266" t="s">
        <v>577</v>
      </c>
      <c r="E485" s="8">
        <f>617</f>
        <v>617</v>
      </c>
      <c r="F485" s="7"/>
      <c r="G485" s="133"/>
      <c r="H485" s="7"/>
      <c r="I485" s="7"/>
      <c r="J485" s="7"/>
      <c r="K485" s="8"/>
      <c r="L485" s="7"/>
      <c r="M485" s="7"/>
      <c r="N485" s="7"/>
      <c r="O485" s="1012"/>
      <c r="P485" s="7"/>
      <c r="Q485" s="798"/>
      <c r="R485" s="685"/>
      <c r="S485" s="133"/>
      <c r="T485" s="133"/>
      <c r="U485" s="784"/>
      <c r="V485" s="86"/>
      <c r="W485" s="8"/>
      <c r="X485" s="8"/>
      <c r="Y485" s="8"/>
      <c r="Z485" s="8"/>
    </row>
    <row r="486" spans="1:26" ht="12" customHeight="1">
      <c r="A486" s="7"/>
      <c r="B486" s="773"/>
      <c r="C486" s="29"/>
      <c r="D486" s="29"/>
      <c r="E486" s="7"/>
      <c r="F486" s="7"/>
      <c r="G486" s="133"/>
      <c r="H486" s="7"/>
      <c r="I486" s="7"/>
      <c r="J486" s="7"/>
      <c r="K486" s="7"/>
      <c r="L486" s="7"/>
      <c r="M486" s="7"/>
      <c r="N486" s="7"/>
      <c r="O486" s="1012"/>
      <c r="P486" s="7"/>
      <c r="S486" s="133"/>
      <c r="T486" s="133"/>
      <c r="U486" s="854"/>
    </row>
    <row r="487" spans="1:26" ht="12" customHeight="1">
      <c r="A487" s="7"/>
      <c r="B487" s="773"/>
      <c r="C487" s="29"/>
      <c r="D487" s="29"/>
      <c r="E487" s="7"/>
      <c r="F487" s="7"/>
      <c r="G487" s="133"/>
      <c r="H487" s="7"/>
      <c r="I487" s="7"/>
      <c r="J487" s="7"/>
      <c r="K487" s="7"/>
      <c r="L487" s="7"/>
      <c r="M487" s="7"/>
      <c r="N487" s="7"/>
      <c r="O487" s="1012"/>
      <c r="P487" s="7"/>
      <c r="S487" s="133"/>
      <c r="T487" s="133"/>
      <c r="U487" s="7"/>
    </row>
    <row r="488" spans="1:26" ht="12" customHeight="1">
      <c r="A488" s="7"/>
      <c r="B488" s="773"/>
      <c r="C488" s="29"/>
      <c r="D488" s="29"/>
      <c r="E488" s="7"/>
      <c r="F488" s="7"/>
      <c r="G488" s="133"/>
      <c r="H488" s="7"/>
      <c r="I488" s="7"/>
      <c r="J488" s="7"/>
      <c r="K488" s="7"/>
      <c r="L488" s="7"/>
      <c r="M488" s="7"/>
      <c r="N488" s="7"/>
      <c r="O488" s="1012"/>
      <c r="P488" s="7"/>
      <c r="S488" s="133"/>
      <c r="T488" s="133"/>
      <c r="U488" s="7"/>
    </row>
    <row r="489" spans="1:26" ht="12" customHeight="1">
      <c r="A489" s="9"/>
      <c r="B489" s="773"/>
      <c r="C489" s="29"/>
      <c r="D489" s="29"/>
      <c r="E489" s="7"/>
      <c r="F489" s="7"/>
      <c r="G489" s="133"/>
      <c r="H489" s="7"/>
      <c r="I489" s="7"/>
      <c r="J489" s="7"/>
      <c r="K489" s="7"/>
      <c r="L489" s="7"/>
      <c r="M489" s="7"/>
      <c r="N489" s="7"/>
      <c r="O489" s="1012"/>
      <c r="P489" s="7"/>
      <c r="S489" s="133"/>
      <c r="T489" s="133"/>
      <c r="U489" s="784"/>
    </row>
    <row r="490" spans="1:26" ht="12" customHeight="1" thickBot="1">
      <c r="A490" s="7"/>
      <c r="B490" s="773"/>
      <c r="C490" s="29"/>
      <c r="D490" s="29"/>
      <c r="F490" s="7"/>
      <c r="G490" s="133"/>
      <c r="H490" s="7"/>
      <c r="I490" s="7"/>
      <c r="J490" s="7"/>
      <c r="K490" s="7"/>
      <c r="L490" s="7"/>
      <c r="M490" s="7"/>
      <c r="N490" s="7"/>
      <c r="O490" s="1012"/>
      <c r="P490" s="7"/>
      <c r="S490" s="133"/>
      <c r="T490" s="133"/>
      <c r="U490" s="7"/>
    </row>
    <row r="491" spans="1:26" ht="12" customHeight="1" thickBot="1">
      <c r="A491" s="18"/>
      <c r="B491" s="1335"/>
      <c r="C491" s="29"/>
      <c r="D491" s="1311" t="s">
        <v>576</v>
      </c>
      <c r="E491" s="782"/>
      <c r="F491" s="7"/>
      <c r="G491" s="133"/>
      <c r="H491" s="7"/>
      <c r="I491" s="7"/>
      <c r="J491" s="7"/>
      <c r="K491" s="7"/>
      <c r="L491" s="7"/>
      <c r="M491" s="7"/>
      <c r="N491" s="7"/>
      <c r="O491" s="1012"/>
      <c r="P491" s="7"/>
      <c r="S491" s="133"/>
      <c r="T491" s="133"/>
      <c r="U491" s="7"/>
    </row>
    <row r="492" spans="1:26" ht="12" customHeight="1" thickBot="1">
      <c r="A492" s="768"/>
      <c r="B492" s="790"/>
      <c r="C492" s="1295"/>
      <c r="D492" s="17" t="s">
        <v>577</v>
      </c>
      <c r="E492" s="13"/>
      <c r="F492" s="7"/>
      <c r="G492" s="133"/>
      <c r="H492" s="7"/>
      <c r="I492" s="7"/>
      <c r="J492" s="7"/>
      <c r="K492" s="7">
        <f>290.5*4-70-42</f>
        <v>1050</v>
      </c>
      <c r="L492" s="7"/>
      <c r="M492" s="7"/>
      <c r="N492" s="7"/>
      <c r="O492" s="1012">
        <f>1190+1290</f>
        <v>2480</v>
      </c>
      <c r="P492" s="7"/>
      <c r="S492" s="133"/>
      <c r="T492" s="133"/>
      <c r="U492" s="7"/>
    </row>
    <row r="493" spans="1:26" ht="12" customHeight="1" thickBot="1">
      <c r="A493" s="7"/>
      <c r="B493" s="773"/>
      <c r="C493" s="29"/>
      <c r="D493" s="1324"/>
      <c r="E493" s="784"/>
      <c r="F493" s="7"/>
      <c r="G493" s="133"/>
      <c r="H493" s="7"/>
      <c r="I493" s="7"/>
      <c r="J493" s="7"/>
      <c r="K493" s="7"/>
      <c r="L493" s="7"/>
      <c r="M493" s="7"/>
      <c r="N493" s="7"/>
      <c r="O493" s="1012"/>
      <c r="P493" s="7"/>
      <c r="S493" s="133"/>
      <c r="T493" s="133"/>
      <c r="U493" s="7"/>
    </row>
    <row r="494" spans="1:26" ht="12" customHeight="1" thickBot="1">
      <c r="A494" s="18"/>
      <c r="B494" s="799"/>
      <c r="C494" s="29"/>
      <c r="D494" s="1324"/>
      <c r="E494" s="784"/>
      <c r="F494" s="7"/>
      <c r="G494" s="133"/>
      <c r="H494" s="7"/>
      <c r="I494" s="7"/>
      <c r="J494" s="7"/>
      <c r="K494" s="7"/>
      <c r="L494" s="7"/>
      <c r="M494" s="7"/>
      <c r="N494" s="7"/>
      <c r="O494" s="1012"/>
      <c r="P494" s="7"/>
      <c r="S494" s="133"/>
      <c r="T494" s="133"/>
      <c r="U494" s="7"/>
    </row>
    <row r="495" spans="1:26" ht="12" customHeight="1" thickBot="1">
      <c r="A495" s="852"/>
      <c r="B495" s="1395"/>
      <c r="C495" s="29"/>
      <c r="D495" s="1324"/>
      <c r="E495" s="784"/>
      <c r="F495" s="7"/>
      <c r="G495" s="133"/>
      <c r="H495" s="7"/>
      <c r="I495" s="7"/>
      <c r="J495" s="7"/>
      <c r="K495" s="7"/>
      <c r="L495" s="7"/>
      <c r="M495" s="7"/>
      <c r="N495" s="7"/>
      <c r="O495" s="1012"/>
      <c r="P495" s="7"/>
      <c r="S495" s="133"/>
      <c r="T495" s="133"/>
      <c r="U495" s="7"/>
    </row>
    <row r="496" spans="1:26" ht="12" customHeight="1" thickBot="1">
      <c r="A496" s="10"/>
      <c r="B496" s="784"/>
      <c r="C496" s="29"/>
      <c r="D496" s="788"/>
      <c r="E496" s="541"/>
      <c r="F496" s="7"/>
      <c r="G496" s="133"/>
      <c r="H496" s="7"/>
      <c r="I496" s="7"/>
      <c r="J496" s="7"/>
      <c r="K496" s="7"/>
      <c r="L496" s="7"/>
      <c r="M496" s="7"/>
      <c r="N496" s="773"/>
      <c r="O496" s="1012"/>
      <c r="P496" s="7"/>
      <c r="S496" s="133"/>
      <c r="T496" s="133"/>
      <c r="U496" s="74"/>
    </row>
    <row r="497" spans="1:26" ht="12" customHeight="1" thickBot="1">
      <c r="A497" s="768"/>
      <c r="B497" s="800"/>
      <c r="C497" s="29"/>
      <c r="D497" s="788"/>
      <c r="E497" s="541"/>
      <c r="F497" s="7"/>
      <c r="G497" s="133"/>
      <c r="H497" s="7"/>
      <c r="I497" s="7"/>
      <c r="J497" s="7"/>
      <c r="K497" s="7"/>
      <c r="L497" s="7"/>
      <c r="M497" s="7"/>
      <c r="N497" s="7"/>
      <c r="O497" s="1012"/>
      <c r="P497" s="7"/>
      <c r="S497" s="133"/>
      <c r="T497" s="133"/>
      <c r="U497" s="74"/>
    </row>
    <row r="498" spans="1:26" ht="12" customHeight="1">
      <c r="A498" s="510"/>
      <c r="B498" s="7"/>
      <c r="C498" s="29"/>
      <c r="D498" s="1266" t="s">
        <v>576</v>
      </c>
      <c r="F498" s="7"/>
      <c r="G498" s="133"/>
      <c r="H498" s="7"/>
      <c r="I498" s="7"/>
      <c r="J498" s="7"/>
      <c r="K498" s="7"/>
      <c r="L498" s="7"/>
      <c r="M498" s="7"/>
      <c r="N498" s="7"/>
      <c r="O498" s="1012"/>
      <c r="P498" s="7"/>
      <c r="S498" s="133">
        <f>O488-U488</f>
        <v>0</v>
      </c>
      <c r="T498" s="133"/>
      <c r="U498" s="806">
        <f>O489-U489+O490-U490+O491-U491</f>
        <v>0</v>
      </c>
    </row>
    <row r="499" spans="1:26" ht="12" customHeight="1">
      <c r="A499" s="510"/>
      <c r="B499" s="7"/>
      <c r="C499" s="29"/>
      <c r="D499" s="1266" t="s">
        <v>577</v>
      </c>
      <c r="F499" s="7"/>
      <c r="G499" s="133"/>
      <c r="H499" s="7" t="s">
        <v>1026</v>
      </c>
      <c r="I499" s="7"/>
      <c r="J499" s="7"/>
      <c r="K499" s="7"/>
      <c r="L499" s="7"/>
      <c r="M499" s="7"/>
      <c r="N499" s="7"/>
      <c r="O499" s="1012">
        <f>1190+1290</f>
        <v>2480</v>
      </c>
      <c r="P499" s="7"/>
      <c r="S499" s="133"/>
      <c r="T499" s="133"/>
      <c r="U499" s="7"/>
    </row>
    <row r="500" spans="1:26" ht="12" customHeight="1">
      <c r="A500" s="510"/>
      <c r="C500" s="29"/>
      <c r="D500" s="74"/>
      <c r="E500" s="7"/>
      <c r="F500" s="7"/>
      <c r="G500" s="133"/>
      <c r="H500" s="7"/>
      <c r="I500" s="7"/>
      <c r="J500" s="7"/>
      <c r="K500" s="7"/>
      <c r="L500" s="7"/>
      <c r="M500" s="7"/>
      <c r="N500" s="7"/>
      <c r="O500" s="1012"/>
      <c r="P500" s="7"/>
      <c r="S500" s="133"/>
      <c r="T500" s="133"/>
      <c r="U500" s="7"/>
    </row>
    <row r="501" spans="1:26" ht="12" customHeight="1">
      <c r="A501" s="510"/>
      <c r="C501" s="29"/>
      <c r="D501" s="74"/>
      <c r="E501" s="7"/>
      <c r="F501" s="7"/>
      <c r="G501" s="133"/>
      <c r="H501" s="7"/>
      <c r="I501" s="7"/>
      <c r="J501" s="7"/>
      <c r="K501" s="7"/>
      <c r="L501" s="7"/>
      <c r="M501" s="7"/>
      <c r="N501" s="7"/>
      <c r="O501" s="1012"/>
      <c r="P501" s="7"/>
      <c r="S501" s="133"/>
      <c r="T501" s="133"/>
      <c r="U501" s="7"/>
    </row>
    <row r="502" spans="1:26" ht="12" customHeight="1">
      <c r="A502" s="10"/>
      <c r="H502" s="808"/>
      <c r="N502" s="49"/>
      <c r="O502" s="1014"/>
      <c r="U502" s="603"/>
    </row>
    <row r="503" spans="1:26" ht="12" customHeight="1">
      <c r="A503" s="1245"/>
      <c r="N503" s="49"/>
      <c r="O503" s="1014"/>
      <c r="U503" s="1355"/>
    </row>
    <row r="504" spans="1:26" s="856" customFormat="1" ht="12" customHeight="1">
      <c r="A504" s="809"/>
      <c r="B504" s="8"/>
      <c r="C504" s="31"/>
      <c r="D504" s="31"/>
      <c r="E504" s="811"/>
      <c r="F504" s="8"/>
      <c r="G504" s="132"/>
      <c r="H504" s="8"/>
      <c r="I504" s="8"/>
      <c r="J504" s="8"/>
      <c r="K504" s="8"/>
      <c r="L504" s="8"/>
      <c r="M504" s="8"/>
      <c r="N504" s="49"/>
      <c r="O504" s="1014"/>
      <c r="P504" s="8"/>
      <c r="Q504" s="8"/>
      <c r="R504" s="685"/>
      <c r="S504" s="132"/>
      <c r="T504" s="132"/>
      <c r="U504" s="1355"/>
      <c r="V504" s="86"/>
      <c r="W504" s="8"/>
      <c r="X504" s="8"/>
      <c r="Y504" s="8"/>
      <c r="Z504" s="8"/>
    </row>
    <row r="505" spans="1:26" s="856" customFormat="1" ht="12" customHeight="1">
      <c r="A505" s="809"/>
      <c r="B505" s="8"/>
      <c r="C505" s="31"/>
      <c r="D505" s="31"/>
      <c r="E505" s="811"/>
      <c r="F505" s="8"/>
      <c r="G505" s="132"/>
      <c r="H505" s="8"/>
      <c r="I505" s="8"/>
      <c r="J505" s="8"/>
      <c r="K505" s="8"/>
      <c r="L505" s="8"/>
      <c r="M505" s="8"/>
      <c r="N505" s="49"/>
      <c r="O505" s="1014"/>
      <c r="P505" s="8"/>
      <c r="Q505" s="8"/>
      <c r="R505" s="685"/>
      <c r="S505" s="132"/>
      <c r="T505" s="132"/>
      <c r="U505" s="603"/>
      <c r="V505" s="86"/>
      <c r="W505" s="8"/>
      <c r="X505" s="8"/>
      <c r="Y505" s="8"/>
      <c r="Z505" s="8"/>
    </row>
    <row r="506" spans="1:26" s="856" customFormat="1" ht="12" customHeight="1">
      <c r="A506" s="49"/>
      <c r="B506" s="8"/>
      <c r="C506" s="31"/>
      <c r="D506" s="31"/>
      <c r="E506" s="811"/>
      <c r="F506" s="8"/>
      <c r="G506" s="132"/>
      <c r="H506" s="8"/>
      <c r="I506" s="8"/>
      <c r="J506" s="8"/>
      <c r="K506" s="8"/>
      <c r="L506" s="8"/>
      <c r="M506" s="8"/>
      <c r="N506" s="49"/>
      <c r="O506" s="1014"/>
      <c r="P506" s="8"/>
      <c r="Q506" s="8"/>
      <c r="R506" s="685"/>
      <c r="S506" s="132"/>
      <c r="T506" s="132"/>
      <c r="U506" s="1355"/>
      <c r="V506" s="86"/>
      <c r="W506" s="8"/>
      <c r="X506" s="8"/>
      <c r="Y506" s="8"/>
      <c r="Z506" s="8"/>
    </row>
    <row r="507" spans="1:26" s="115" customFormat="1" ht="12" customHeight="1">
      <c r="A507" s="49"/>
      <c r="B507" s="8"/>
      <c r="C507" s="31"/>
      <c r="D507" s="31"/>
      <c r="E507" s="8"/>
      <c r="F507" s="8"/>
      <c r="G507" s="132"/>
      <c r="H507" s="8"/>
      <c r="I507" s="8"/>
      <c r="J507" s="8"/>
      <c r="K507" s="8"/>
      <c r="L507" s="8"/>
      <c r="M507" s="8"/>
      <c r="N507" s="49"/>
      <c r="O507" s="1014"/>
      <c r="P507" s="8"/>
      <c r="Q507" s="8"/>
      <c r="R507" s="685"/>
      <c r="S507" s="132"/>
      <c r="T507" s="132"/>
      <c r="U507" s="1360"/>
      <c r="V507" s="86"/>
      <c r="W507" s="8"/>
      <c r="X507" s="8"/>
      <c r="Y507" s="8"/>
      <c r="Z507" s="8"/>
    </row>
    <row r="508" spans="1:26">
      <c r="N508" s="49"/>
      <c r="O508" s="1014"/>
      <c r="U508" s="1360"/>
    </row>
    <row r="509" spans="1:26" s="115" customFormat="1" ht="12" customHeight="1">
      <c r="A509" s="8"/>
      <c r="B509" s="8"/>
      <c r="C509" s="31"/>
      <c r="D509" s="31"/>
      <c r="E509" s="8"/>
      <c r="F509" s="8"/>
      <c r="G509" s="132"/>
      <c r="H509" s="8"/>
      <c r="I509" s="8"/>
      <c r="J509" s="8"/>
      <c r="K509" s="8"/>
      <c r="L509" s="8"/>
      <c r="M509" s="8"/>
      <c r="N509" s="73"/>
      <c r="O509" s="1014"/>
      <c r="P509" s="8"/>
      <c r="Q509" s="8"/>
      <c r="R509" s="685"/>
      <c r="S509" s="132"/>
      <c r="T509" s="132"/>
      <c r="U509" s="1356"/>
      <c r="V509" s="86"/>
      <c r="W509" s="8"/>
      <c r="X509" s="8"/>
      <c r="Y509" s="8"/>
      <c r="Z509" s="8"/>
    </row>
    <row r="510" spans="1:26" s="689" customFormat="1" ht="12" customHeight="1">
      <c r="A510" s="8"/>
      <c r="B510" s="8"/>
      <c r="C510" s="31"/>
      <c r="D510" s="31"/>
      <c r="E510" s="811"/>
      <c r="F510" s="8"/>
      <c r="G510" s="132"/>
      <c r="H510" s="8"/>
      <c r="I510" s="8"/>
      <c r="J510" s="8"/>
      <c r="K510" s="8"/>
      <c r="L510" s="814">
        <f>O496-U496</f>
        <v>0</v>
      </c>
      <c r="M510" s="8"/>
      <c r="N510" s="73"/>
      <c r="O510" s="1014"/>
      <c r="P510" s="8"/>
      <c r="Q510" s="8"/>
      <c r="R510" s="685"/>
      <c r="S510" s="132">
        <f>O499-U499</f>
        <v>2480</v>
      </c>
      <c r="T510" s="132"/>
      <c r="U510" s="1355"/>
      <c r="V510" s="86"/>
      <c r="W510" s="8"/>
      <c r="X510" s="8"/>
      <c r="Y510" s="8"/>
      <c r="Z510" s="8"/>
    </row>
    <row r="511" spans="1:26" s="699" customFormat="1" ht="12" customHeight="1">
      <c r="A511" s="8"/>
      <c r="B511" s="8"/>
      <c r="C511" s="31"/>
      <c r="D511" s="31"/>
      <c r="E511" s="8"/>
      <c r="F511" s="8"/>
      <c r="G511" s="132"/>
      <c r="H511" s="8"/>
      <c r="I511" s="8"/>
      <c r="J511" s="8"/>
      <c r="K511" s="8"/>
      <c r="L511" s="8"/>
      <c r="M511" s="8"/>
      <c r="N511" s="49"/>
      <c r="O511" s="1014"/>
      <c r="P511" s="8"/>
      <c r="Q511" s="8"/>
      <c r="R511" s="685"/>
      <c r="S511" s="132"/>
      <c r="T511" s="132"/>
      <c r="U511" s="1355"/>
      <c r="V511" s="86"/>
      <c r="W511" s="8"/>
      <c r="X511" s="8"/>
      <c r="Y511" s="8"/>
      <c r="Z511" s="8"/>
    </row>
    <row r="512" spans="1:26" s="689" customFormat="1" ht="12" customHeight="1">
      <c r="A512" s="8"/>
      <c r="B512" s="8"/>
      <c r="C512" s="31"/>
      <c r="D512" s="31"/>
      <c r="E512" s="8"/>
      <c r="F512" s="8"/>
      <c r="G512" s="132"/>
      <c r="H512" s="8"/>
      <c r="I512" s="8"/>
      <c r="J512" s="8"/>
      <c r="K512" s="8"/>
      <c r="L512" s="8"/>
      <c r="M512" s="8"/>
      <c r="N512" s="49"/>
      <c r="O512" s="1014"/>
      <c r="P512" s="8"/>
      <c r="Q512" s="8"/>
      <c r="R512" s="685"/>
      <c r="S512" s="132"/>
      <c r="T512" s="132"/>
      <c r="U512" s="1355"/>
      <c r="V512" s="86"/>
      <c r="W512" s="8"/>
      <c r="X512" s="8"/>
      <c r="Y512" s="8"/>
      <c r="Z512" s="8"/>
    </row>
    <row r="513" spans="1:26" s="900" customFormat="1" ht="12" customHeight="1">
      <c r="A513" s="8"/>
      <c r="B513" s="8"/>
      <c r="C513" s="31"/>
      <c r="D513" s="31"/>
      <c r="E513" s="8"/>
      <c r="F513" s="8"/>
      <c r="G513" s="132"/>
      <c r="H513" s="8"/>
      <c r="I513" s="8"/>
      <c r="J513" s="8"/>
      <c r="K513" s="8"/>
      <c r="L513" s="8"/>
      <c r="M513" s="8"/>
      <c r="N513" s="49"/>
      <c r="O513" s="1014"/>
      <c r="P513" s="8"/>
      <c r="Q513" s="8"/>
      <c r="R513" s="685"/>
      <c r="S513" s="132"/>
      <c r="T513" s="132"/>
      <c r="U513" s="810"/>
      <c r="V513" s="86"/>
      <c r="W513" s="8"/>
      <c r="X513" s="8"/>
      <c r="Y513" s="8"/>
      <c r="Z513" s="8"/>
    </row>
    <row r="514" spans="1:26" s="115" customFormat="1" ht="12" customHeight="1">
      <c r="A514" s="8"/>
      <c r="B514" s="8"/>
      <c r="C514" s="31"/>
      <c r="D514" s="31"/>
      <c r="E514" s="8"/>
      <c r="F514" s="8"/>
      <c r="G514" s="132"/>
      <c r="H514" s="8"/>
      <c r="I514" s="8"/>
      <c r="J514" s="8"/>
      <c r="K514" s="8"/>
      <c r="L514" s="8"/>
      <c r="M514" s="8"/>
      <c r="N514" s="49"/>
      <c r="O514" s="1014"/>
      <c r="P514" s="8"/>
      <c r="Q514" s="8"/>
      <c r="R514" s="685"/>
      <c r="S514" s="132"/>
      <c r="T514" s="132"/>
      <c r="U514" s="1355"/>
      <c r="V514" s="86"/>
      <c r="W514" s="8"/>
      <c r="X514" s="8"/>
      <c r="Y514" s="8"/>
      <c r="Z514" s="8"/>
    </row>
    <row r="515" spans="1:26" s="115" customFormat="1" ht="12" customHeight="1">
      <c r="A515" s="7"/>
      <c r="B515" s="7"/>
      <c r="C515" s="29"/>
      <c r="D515" s="29"/>
      <c r="E515" s="8"/>
      <c r="F515" s="7"/>
      <c r="G515" s="133"/>
      <c r="H515" s="7"/>
      <c r="I515" s="7"/>
      <c r="J515" s="7"/>
      <c r="K515" s="7"/>
      <c r="L515" s="773"/>
      <c r="M515" s="7"/>
      <c r="N515" s="773"/>
      <c r="O515" s="1012"/>
      <c r="P515" s="7"/>
      <c r="Q515" s="8"/>
      <c r="R515" s="685"/>
      <c r="S515" s="133"/>
      <c r="T515" s="133"/>
      <c r="U515" s="74"/>
      <c r="V515" s="86"/>
      <c r="W515" s="8"/>
      <c r="X515" s="8"/>
      <c r="Y515" s="8"/>
      <c r="Z515" s="8"/>
    </row>
    <row r="516" spans="1:26" s="115" customFormat="1" ht="12" customHeight="1">
      <c r="A516" s="7"/>
      <c r="B516" s="773"/>
      <c r="C516" s="29"/>
      <c r="D516" s="29"/>
      <c r="E516" s="8"/>
      <c r="F516" s="7"/>
      <c r="G516" s="133"/>
      <c r="H516" s="7"/>
      <c r="I516" s="7"/>
      <c r="J516" s="7"/>
      <c r="K516" s="7"/>
      <c r="L516" s="7"/>
      <c r="M516" s="7"/>
      <c r="N516" s="7"/>
      <c r="O516" s="1012"/>
      <c r="P516" s="7"/>
      <c r="Q516" s="8"/>
      <c r="R516" s="685"/>
      <c r="S516" s="133"/>
      <c r="T516" s="133"/>
      <c r="U516" s="74"/>
      <c r="V516" s="86"/>
      <c r="W516" s="8"/>
      <c r="X516" s="8"/>
      <c r="Y516" s="8"/>
      <c r="Z516" s="8"/>
    </row>
    <row r="517" spans="1:26" s="115" customFormat="1" ht="12" customHeight="1">
      <c r="A517" s="7"/>
      <c r="B517" s="7"/>
      <c r="C517" s="29"/>
      <c r="D517" s="1266" t="s">
        <v>576</v>
      </c>
      <c r="E517" s="8"/>
      <c r="F517" s="7"/>
      <c r="G517" s="133"/>
      <c r="H517" s="7"/>
      <c r="I517" s="7"/>
      <c r="J517" s="7"/>
      <c r="K517" s="7"/>
      <c r="L517" s="7"/>
      <c r="M517" s="7"/>
      <c r="N517" s="7"/>
      <c r="O517" s="1012"/>
      <c r="P517" s="7"/>
      <c r="Q517" s="8"/>
      <c r="R517" s="685"/>
      <c r="S517" s="133"/>
      <c r="T517" s="133"/>
      <c r="U517" s="7"/>
      <c r="V517" s="86"/>
      <c r="W517" s="8"/>
      <c r="X517" s="8"/>
      <c r="Y517" s="8"/>
      <c r="Z517" s="8"/>
    </row>
    <row r="518" spans="1:26" s="689" customFormat="1" ht="12" customHeight="1">
      <c r="A518" s="7"/>
      <c r="B518" s="7"/>
      <c r="C518" s="29"/>
      <c r="D518" s="1266" t="s">
        <v>577</v>
      </c>
      <c r="E518" s="8"/>
      <c r="F518" s="7"/>
      <c r="G518" s="133"/>
      <c r="H518" s="7"/>
      <c r="I518" s="7"/>
      <c r="J518" s="7"/>
      <c r="K518" s="7"/>
      <c r="L518" s="7"/>
      <c r="M518" s="7"/>
      <c r="N518" s="7"/>
      <c r="O518" s="1012"/>
      <c r="P518" s="7"/>
      <c r="Q518" s="8"/>
      <c r="R518" s="685"/>
      <c r="S518" s="133"/>
      <c r="T518" s="133"/>
      <c r="U518" s="7"/>
      <c r="V518" s="86"/>
      <c r="W518" s="8"/>
      <c r="X518" s="8"/>
      <c r="Y518" s="8"/>
      <c r="Z518" s="8"/>
    </row>
    <row r="519" spans="1:26" s="115" customFormat="1" ht="12" customHeight="1">
      <c r="A519" s="7"/>
      <c r="B519" s="8"/>
      <c r="C519" s="29"/>
      <c r="D519" s="74"/>
      <c r="E519" s="7"/>
      <c r="F519" s="7"/>
      <c r="G519" s="133"/>
      <c r="H519" s="7"/>
      <c r="I519" s="7"/>
      <c r="J519" s="7"/>
      <c r="K519" s="7"/>
      <c r="L519" s="7"/>
      <c r="M519" s="7"/>
      <c r="N519" s="7"/>
      <c r="O519" s="1012"/>
      <c r="P519" s="7"/>
      <c r="Q519" s="8"/>
      <c r="R519" s="685"/>
      <c r="S519" s="133"/>
      <c r="T519" s="133"/>
      <c r="U519" s="7"/>
      <c r="V519" s="86"/>
      <c r="W519" s="8"/>
      <c r="X519" s="8"/>
      <c r="Y519" s="8"/>
      <c r="Z519" s="8"/>
    </row>
    <row r="520" spans="1:26" s="115" customFormat="1" ht="12" customHeight="1">
      <c r="A520" s="7"/>
      <c r="B520" s="8"/>
      <c r="C520" s="29"/>
      <c r="D520" s="74"/>
      <c r="E520" s="7"/>
      <c r="F520" s="7"/>
      <c r="G520" s="133"/>
      <c r="H520" s="7"/>
      <c r="I520" s="7"/>
      <c r="J520" s="7"/>
      <c r="K520" s="7"/>
      <c r="L520" s="7"/>
      <c r="M520" s="7"/>
      <c r="N520" s="7"/>
      <c r="O520" s="1012"/>
      <c r="P520" s="7"/>
      <c r="Q520" s="8"/>
      <c r="R520" s="685"/>
      <c r="S520" s="133"/>
      <c r="T520" s="133"/>
      <c r="U520" s="7"/>
      <c r="V520" s="86"/>
      <c r="W520" s="8"/>
      <c r="X520" s="8"/>
      <c r="Y520" s="8"/>
      <c r="Z520" s="8"/>
    </row>
    <row r="521" spans="1:26" s="408" customFormat="1" ht="12" customHeight="1">
      <c r="A521" s="7"/>
      <c r="B521" s="8"/>
      <c r="C521" s="29"/>
      <c r="D521" s="74"/>
      <c r="E521" s="7"/>
      <c r="F521" s="7"/>
      <c r="G521" s="133"/>
      <c r="H521" s="7"/>
      <c r="I521" s="7"/>
      <c r="J521" s="7"/>
      <c r="K521" s="7"/>
      <c r="L521" s="7"/>
      <c r="M521" s="7"/>
      <c r="N521" s="7"/>
      <c r="O521" s="1012"/>
      <c r="P521" s="7"/>
      <c r="Q521" s="8"/>
      <c r="R521" s="685"/>
      <c r="S521" s="133"/>
      <c r="T521" s="133"/>
      <c r="U521" s="7"/>
      <c r="V521" s="86"/>
      <c r="W521" s="8"/>
      <c r="X521" s="8"/>
      <c r="Y521" s="8"/>
      <c r="Z521" s="8"/>
    </row>
    <row r="522" spans="1:26" s="115" customFormat="1" ht="12" customHeight="1">
      <c r="A522" s="7"/>
      <c r="B522" s="8"/>
      <c r="C522" s="29"/>
      <c r="D522" s="74"/>
      <c r="E522" s="7"/>
      <c r="F522" s="7"/>
      <c r="G522" s="133"/>
      <c r="H522" s="7"/>
      <c r="I522" s="7"/>
      <c r="J522" s="7"/>
      <c r="K522" s="7"/>
      <c r="L522" s="7"/>
      <c r="M522" s="7"/>
      <c r="N522" s="7"/>
      <c r="O522" s="1012"/>
      <c r="P522" s="7"/>
      <c r="Q522" s="8"/>
      <c r="R522" s="685"/>
      <c r="S522" s="133"/>
      <c r="T522" s="133"/>
      <c r="U522" s="7"/>
      <c r="V522" s="86"/>
      <c r="W522" s="8"/>
      <c r="X522" s="8"/>
      <c r="Y522" s="8"/>
      <c r="Z522" s="8"/>
    </row>
    <row r="523" spans="1:26" s="838" customFormat="1" ht="12" customHeight="1">
      <c r="A523" s="7"/>
      <c r="B523" s="8"/>
      <c r="C523" s="29"/>
      <c r="D523" s="74"/>
      <c r="E523" s="7"/>
      <c r="F523" s="7"/>
      <c r="G523" s="133"/>
      <c r="H523" s="7"/>
      <c r="I523" s="7"/>
      <c r="J523" s="7"/>
      <c r="K523" s="7"/>
      <c r="L523" s="7"/>
      <c r="M523" s="7"/>
      <c r="N523" s="7"/>
      <c r="O523" s="1012"/>
      <c r="P523" s="7"/>
      <c r="Q523" s="8"/>
      <c r="R523" s="685"/>
      <c r="S523" s="133"/>
      <c r="T523" s="133"/>
      <c r="U523" s="784"/>
      <c r="V523" s="86"/>
      <c r="W523" s="8"/>
      <c r="X523" s="8"/>
      <c r="Y523" s="8"/>
      <c r="Z523" s="8"/>
    </row>
    <row r="524" spans="1:26" s="689" customFormat="1" ht="12" customHeight="1">
      <c r="A524" s="7"/>
      <c r="B524" s="8"/>
      <c r="C524" s="29"/>
      <c r="D524" s="74"/>
      <c r="E524" s="7"/>
      <c r="F524" s="7"/>
      <c r="G524" s="133"/>
      <c r="H524" s="7"/>
      <c r="I524" s="7"/>
      <c r="J524" s="7"/>
      <c r="K524" s="7"/>
      <c r="L524" s="7"/>
      <c r="M524" s="7"/>
      <c r="N524" s="7"/>
      <c r="O524" s="1012"/>
      <c r="P524" s="7"/>
      <c r="Q524" s="8"/>
      <c r="R524" s="685"/>
      <c r="S524" s="133"/>
      <c r="T524" s="133"/>
      <c r="U524" s="7"/>
      <c r="V524" s="86"/>
      <c r="W524" s="8"/>
      <c r="X524" s="8"/>
      <c r="Y524" s="8"/>
      <c r="Z524" s="8"/>
    </row>
    <row r="525" spans="1:26" s="115" customFormat="1" ht="12" customHeight="1">
      <c r="A525" s="8"/>
      <c r="B525" s="8"/>
      <c r="C525" s="31"/>
      <c r="D525" s="31"/>
      <c r="E525" s="8"/>
      <c r="F525" s="8"/>
      <c r="G525" s="132"/>
      <c r="H525" s="8"/>
      <c r="I525" s="8"/>
      <c r="J525" s="8"/>
      <c r="K525" s="8"/>
      <c r="L525" s="8"/>
      <c r="M525" s="8"/>
      <c r="N525" s="49"/>
      <c r="O525" s="1014"/>
      <c r="P525" s="8"/>
      <c r="Q525" s="8"/>
      <c r="R525" s="685"/>
      <c r="S525" s="132"/>
      <c r="T525" s="132"/>
      <c r="U525" s="603"/>
      <c r="V525" s="86"/>
      <c r="W525" s="8"/>
      <c r="X525" s="8"/>
      <c r="Y525" s="8"/>
      <c r="Z525" s="8"/>
    </row>
    <row r="526" spans="1:26" s="115" customFormat="1" ht="12" customHeight="1">
      <c r="A526" s="8"/>
      <c r="B526" s="8"/>
      <c r="C526" s="31"/>
      <c r="D526" s="31"/>
      <c r="E526" s="8"/>
      <c r="F526" s="8"/>
      <c r="G526" s="132"/>
      <c r="H526" s="8"/>
      <c r="I526" s="8"/>
      <c r="J526" s="8"/>
      <c r="K526" s="817"/>
      <c r="L526" s="8"/>
      <c r="M526" s="8"/>
      <c r="N526" s="49"/>
      <c r="O526" s="1014"/>
      <c r="P526" s="8"/>
      <c r="Q526" s="8"/>
      <c r="R526" s="685"/>
      <c r="S526" s="132"/>
      <c r="T526" s="132"/>
      <c r="U526" s="85"/>
      <c r="V526" s="86"/>
      <c r="W526" s="8"/>
      <c r="X526" s="814"/>
      <c r="Y526" s="8"/>
      <c r="Z526" s="8"/>
    </row>
    <row r="527" spans="1:26" s="115" customFormat="1" ht="12" customHeight="1">
      <c r="A527" s="10"/>
      <c r="B527" s="8"/>
      <c r="C527" s="31"/>
      <c r="D527" s="31"/>
      <c r="E527" s="8"/>
      <c r="F527" s="8"/>
      <c r="G527" s="132"/>
      <c r="H527" s="8"/>
      <c r="I527" s="8"/>
      <c r="J527" s="8"/>
      <c r="K527" s="8"/>
      <c r="L527" s="8"/>
      <c r="M527" s="8"/>
      <c r="N527" s="49"/>
      <c r="O527" s="1014"/>
      <c r="P527" s="8"/>
      <c r="Q527" s="8"/>
      <c r="R527" s="685"/>
      <c r="S527" s="132"/>
      <c r="T527" s="132"/>
      <c r="U527" s="85"/>
      <c r="V527" s="86"/>
      <c r="W527" s="8"/>
      <c r="X527" s="8"/>
      <c r="Y527" s="8"/>
      <c r="Z527" s="8"/>
    </row>
    <row r="528" spans="1:26" ht="12" customHeight="1">
      <c r="N528" s="49"/>
      <c r="O528" s="1014"/>
      <c r="U528" s="85"/>
    </row>
    <row r="529" spans="1:21" ht="12" customHeight="1">
      <c r="N529" s="49"/>
      <c r="O529" s="1014"/>
      <c r="U529" s="603"/>
    </row>
    <row r="530" spans="1:21" ht="12" customHeight="1">
      <c r="N530" s="49"/>
      <c r="O530" s="1014"/>
      <c r="U530" s="85"/>
    </row>
    <row r="531" spans="1:21" ht="12" customHeight="1" thickBot="1">
      <c r="N531" s="49"/>
      <c r="O531" s="1014"/>
      <c r="U531" s="603"/>
    </row>
    <row r="532" spans="1:21" ht="12" customHeight="1" thickBot="1">
      <c r="A532" s="1244"/>
      <c r="B532" s="782"/>
      <c r="D532" s="1309"/>
      <c r="E532" s="782"/>
      <c r="N532" s="49"/>
      <c r="O532" s="1014"/>
      <c r="U532" s="1382"/>
    </row>
    <row r="533" spans="1:21" ht="12" customHeight="1" thickBot="1">
      <c r="A533" s="519"/>
      <c r="B533" s="541"/>
      <c r="C533" s="1294"/>
      <c r="D533" s="654"/>
      <c r="E533" s="13"/>
      <c r="H533" s="808"/>
      <c r="N533" s="49"/>
      <c r="O533" s="1014"/>
      <c r="U533" s="603"/>
    </row>
    <row r="534" spans="1:21" ht="12" customHeight="1" thickBot="1">
      <c r="A534" s="809"/>
      <c r="D534" s="654"/>
      <c r="E534" s="13"/>
      <c r="N534" s="49"/>
      <c r="O534" s="1014"/>
      <c r="U534" s="1355"/>
    </row>
    <row r="535" spans="1:21" ht="12" customHeight="1" thickBot="1">
      <c r="A535" s="1630"/>
      <c r="B535" s="782"/>
      <c r="D535" s="654"/>
      <c r="E535" s="1694"/>
      <c r="N535" s="49"/>
      <c r="O535" s="1014"/>
      <c r="U535" s="1355"/>
    </row>
    <row r="536" spans="1:21" ht="12" customHeight="1" thickBot="1">
      <c r="A536" s="1252"/>
      <c r="B536" s="1281"/>
      <c r="D536" s="654"/>
      <c r="E536" s="1694"/>
      <c r="N536" s="49"/>
      <c r="O536" s="1014"/>
      <c r="U536" s="603"/>
    </row>
    <row r="537" spans="1:21" ht="12" customHeight="1" thickBot="1">
      <c r="A537" s="1242"/>
      <c r="B537" s="13"/>
      <c r="D537" s="567"/>
      <c r="E537" s="1328"/>
      <c r="N537" s="49"/>
      <c r="O537" s="1014"/>
      <c r="U537" s="1355"/>
    </row>
    <row r="538" spans="1:21" ht="12" customHeight="1" thickBot="1">
      <c r="A538" s="1643"/>
      <c r="B538" s="541"/>
      <c r="D538" s="567"/>
      <c r="E538" s="541"/>
      <c r="N538" s="49"/>
      <c r="O538" s="1014"/>
      <c r="U538" s="1360"/>
    </row>
    <row r="539" spans="1:21" ht="12" customHeight="1">
      <c r="A539" s="10"/>
      <c r="N539" s="49"/>
      <c r="O539" s="1014"/>
      <c r="U539" s="812"/>
    </row>
    <row r="540" spans="1:21" ht="12" customHeight="1">
      <c r="A540" s="10"/>
      <c r="N540" s="73"/>
      <c r="O540" s="1014"/>
      <c r="U540" s="813"/>
    </row>
    <row r="541" spans="1:21" ht="12" customHeight="1">
      <c r="A541" s="10"/>
      <c r="E541" s="811"/>
      <c r="L541" s="814">
        <f>O529-U529</f>
        <v>0</v>
      </c>
      <c r="N541" s="73"/>
      <c r="O541" s="1014"/>
      <c r="S541" s="132">
        <f>O531-U531</f>
        <v>0</v>
      </c>
      <c r="U541" s="810"/>
    </row>
    <row r="542" spans="1:21" ht="12" customHeight="1">
      <c r="A542" s="10"/>
      <c r="N542" s="49"/>
      <c r="O542" s="1014"/>
      <c r="U542" s="810"/>
    </row>
    <row r="543" spans="1:21" ht="12" customHeight="1">
      <c r="A543" s="10"/>
      <c r="E543" s="811"/>
      <c r="N543" s="49"/>
      <c r="O543" s="1014"/>
      <c r="U543" s="818"/>
    </row>
    <row r="544" spans="1:21" ht="12" customHeight="1">
      <c r="A544" s="10"/>
      <c r="N544" s="49"/>
      <c r="O544" s="1014"/>
      <c r="U544" s="810"/>
    </row>
    <row r="545" spans="1:26" ht="12" customHeight="1">
      <c r="A545" s="10"/>
      <c r="N545" s="49"/>
      <c r="O545" s="1014"/>
      <c r="U545" s="810"/>
    </row>
    <row r="546" spans="1:26" ht="12" customHeight="1">
      <c r="N546" s="49"/>
      <c r="O546" s="1014"/>
      <c r="U546" s="810"/>
    </row>
    <row r="547" spans="1:26" ht="12" customHeight="1">
      <c r="A547" s="510"/>
      <c r="B547" s="7"/>
      <c r="C547" s="29"/>
      <c r="D547" s="29"/>
      <c r="F547" s="7"/>
      <c r="G547" s="133"/>
      <c r="H547" s="7"/>
      <c r="I547" s="7"/>
      <c r="J547" s="7"/>
      <c r="K547" s="7"/>
      <c r="L547" s="7"/>
      <c r="M547" s="7"/>
      <c r="N547" s="7"/>
      <c r="O547" s="1012"/>
      <c r="P547" s="7"/>
      <c r="S547" s="133"/>
      <c r="T547" s="133"/>
      <c r="U547" s="1361"/>
    </row>
    <row r="548" spans="1:26" ht="12" customHeight="1">
      <c r="A548" s="510"/>
      <c r="B548" s="1662"/>
      <c r="C548" s="29"/>
      <c r="D548" s="29"/>
      <c r="F548" s="7"/>
      <c r="G548" s="133"/>
      <c r="H548" s="7"/>
      <c r="I548" s="7"/>
      <c r="J548" s="7"/>
      <c r="K548" s="7"/>
      <c r="L548" s="7"/>
      <c r="M548" s="7"/>
      <c r="N548" s="7"/>
      <c r="O548" s="1012"/>
      <c r="P548" s="7"/>
      <c r="S548" s="133"/>
      <c r="T548" s="133"/>
      <c r="U548" s="1361"/>
    </row>
    <row r="549" spans="1:26" ht="12" customHeight="1">
      <c r="A549" s="510"/>
      <c r="B549" s="7"/>
      <c r="C549" s="29"/>
      <c r="D549" s="1266" t="s">
        <v>576</v>
      </c>
      <c r="F549" s="7"/>
      <c r="G549" s="133"/>
      <c r="H549" s="7"/>
      <c r="I549" s="7"/>
      <c r="J549" s="7"/>
      <c r="K549" s="7"/>
      <c r="L549" s="7"/>
      <c r="M549" s="7"/>
      <c r="N549" s="7"/>
      <c r="O549" s="1012"/>
      <c r="P549" s="7"/>
      <c r="S549" s="133"/>
      <c r="T549" s="133"/>
      <c r="U549" s="784"/>
    </row>
    <row r="550" spans="1:26" s="355" customFormat="1" ht="12" customHeight="1">
      <c r="A550" s="510"/>
      <c r="B550" s="7"/>
      <c r="C550" s="29"/>
      <c r="D550" s="1266" t="s">
        <v>577</v>
      </c>
      <c r="E550" s="8"/>
      <c r="F550" s="7"/>
      <c r="G550" s="133"/>
      <c r="H550" s="7"/>
      <c r="I550" s="7"/>
      <c r="J550" s="7"/>
      <c r="K550" s="7"/>
      <c r="L550" s="7"/>
      <c r="M550" s="7"/>
      <c r="N550" s="7"/>
      <c r="O550" s="1012"/>
      <c r="P550" s="7"/>
      <c r="Q550" s="8"/>
      <c r="R550" s="685"/>
      <c r="S550" s="133"/>
      <c r="T550" s="133"/>
      <c r="U550" s="784"/>
      <c r="V550" s="86"/>
      <c r="W550" s="8"/>
      <c r="X550" s="8"/>
      <c r="Y550" s="8"/>
      <c r="Z550" s="8"/>
    </row>
    <row r="551" spans="1:26" s="355" customFormat="1" ht="12" customHeight="1">
      <c r="A551" s="8"/>
      <c r="B551" s="8"/>
      <c r="C551" s="31"/>
      <c r="D551" s="31"/>
      <c r="E551" s="8"/>
      <c r="F551" s="8"/>
      <c r="G551" s="132"/>
      <c r="H551" s="8"/>
      <c r="I551" s="8"/>
      <c r="J551" s="8"/>
      <c r="K551" s="8"/>
      <c r="L551" s="8"/>
      <c r="M551" s="8"/>
      <c r="N551" s="8"/>
      <c r="O551" s="1015"/>
      <c r="P551" s="8"/>
      <c r="Q551" s="8"/>
      <c r="R551" s="685"/>
      <c r="S551" s="132"/>
      <c r="T551" s="132"/>
      <c r="U551" s="8"/>
      <c r="V551" s="86"/>
      <c r="W551" s="8"/>
      <c r="X551" s="8"/>
      <c r="Y551" s="8"/>
      <c r="Z551" s="8"/>
    </row>
    <row r="552" spans="1:26" s="355" customFormat="1" ht="12" customHeight="1">
      <c r="A552" s="8"/>
      <c r="B552" s="8"/>
      <c r="C552" s="31"/>
      <c r="D552" s="31"/>
      <c r="E552" s="8"/>
      <c r="F552" s="8"/>
      <c r="G552" s="132"/>
      <c r="H552" s="8"/>
      <c r="I552" s="8"/>
      <c r="J552" s="8"/>
      <c r="K552" s="8"/>
      <c r="L552" s="8"/>
      <c r="M552" s="8"/>
      <c r="N552" s="8"/>
      <c r="O552" s="1014"/>
      <c r="P552" s="8"/>
      <c r="Q552" s="8"/>
      <c r="R552" s="685"/>
      <c r="S552" s="132"/>
      <c r="T552" s="132"/>
      <c r="U552" s="8"/>
      <c r="V552" s="86"/>
      <c r="W552" s="8"/>
      <c r="X552" s="8"/>
      <c r="Y552" s="8"/>
      <c r="Z552" s="8"/>
    </row>
    <row r="553" spans="1:26" s="355" customFormat="1" ht="12" customHeight="1">
      <c r="A553" s="8"/>
      <c r="B553" s="8"/>
      <c r="C553" s="31"/>
      <c r="D553" s="31"/>
      <c r="E553" s="8"/>
      <c r="F553" s="8"/>
      <c r="G553" s="132"/>
      <c r="H553" s="8"/>
      <c r="I553" s="8"/>
      <c r="J553" s="8"/>
      <c r="K553" s="8"/>
      <c r="L553" s="8"/>
      <c r="M553" s="8"/>
      <c r="N553" s="49"/>
      <c r="O553" s="1014"/>
      <c r="P553" s="8"/>
      <c r="Q553" s="8"/>
      <c r="R553" s="685"/>
      <c r="S553" s="132"/>
      <c r="T553" s="132"/>
      <c r="U553" s="603"/>
      <c r="V553" s="86"/>
      <c r="W553" s="8"/>
      <c r="X553" s="8"/>
      <c r="Y553" s="8"/>
      <c r="Z553" s="8"/>
    </row>
    <row r="554" spans="1:26" s="954" customFormat="1" ht="12" customHeight="1">
      <c r="A554" s="21"/>
      <c r="B554" s="21"/>
      <c r="C554" s="30"/>
      <c r="D554" s="30"/>
      <c r="E554" s="21"/>
      <c r="F554" s="21"/>
      <c r="G554" s="764"/>
      <c r="H554" s="21"/>
      <c r="I554" s="21"/>
      <c r="J554" s="21"/>
      <c r="K554" s="21"/>
      <c r="L554" s="21"/>
      <c r="M554" s="21"/>
      <c r="N554" s="50"/>
      <c r="O554" s="1013"/>
      <c r="P554" s="21"/>
      <c r="Q554" s="21"/>
      <c r="R554" s="876"/>
      <c r="S554" s="764"/>
      <c r="T554" s="764"/>
      <c r="U554" s="1367"/>
      <c r="V554" s="78"/>
      <c r="W554" s="21"/>
      <c r="X554" s="21"/>
      <c r="Y554" s="21"/>
      <c r="Z554" s="21"/>
    </row>
    <row r="555" spans="1:26" s="971" customFormat="1" ht="13.2">
      <c r="A555" s="21"/>
      <c r="B555" s="21"/>
      <c r="C555" s="30"/>
      <c r="D555" s="30"/>
      <c r="E555" s="21"/>
      <c r="F555" s="21"/>
      <c r="G555" s="764"/>
      <c r="H555" s="21"/>
      <c r="I555" s="21"/>
      <c r="J555" s="21"/>
      <c r="K555" s="21"/>
      <c r="L555" s="21"/>
      <c r="M555" s="21"/>
      <c r="N555" s="50"/>
      <c r="O555" s="1013"/>
      <c r="P555" s="21"/>
      <c r="Q555" s="21"/>
      <c r="R555" s="876"/>
      <c r="S555" s="764"/>
      <c r="T555" s="764"/>
      <c r="U555" s="1367"/>
      <c r="V555" s="78"/>
      <c r="W555" s="21"/>
      <c r="X555" s="21"/>
      <c r="Y555" s="21"/>
      <c r="Z555" s="21"/>
    </row>
    <row r="556" spans="1:26" s="446" customFormat="1" ht="13.2">
      <c r="A556" s="21"/>
      <c r="B556" s="21"/>
      <c r="C556" s="30"/>
      <c r="D556" s="30"/>
      <c r="E556" s="21"/>
      <c r="F556" s="21"/>
      <c r="G556" s="764"/>
      <c r="H556" s="21"/>
      <c r="I556" s="21"/>
      <c r="J556" s="21"/>
      <c r="K556" s="21"/>
      <c r="L556" s="21"/>
      <c r="M556" s="21"/>
      <c r="N556" s="50"/>
      <c r="O556" s="1013"/>
      <c r="P556" s="21"/>
      <c r="Q556" s="21"/>
      <c r="R556" s="876"/>
      <c r="S556" s="764"/>
      <c r="T556" s="764"/>
      <c r="U556" s="1367"/>
      <c r="V556" s="78"/>
      <c r="W556" s="21"/>
      <c r="X556" s="21"/>
      <c r="Y556" s="21"/>
      <c r="Z556" s="21"/>
    </row>
    <row r="557" spans="1:26" s="991" customFormat="1" ht="13.2">
      <c r="A557" s="21"/>
      <c r="B557" s="21"/>
      <c r="C557" s="30"/>
      <c r="D557" s="30"/>
      <c r="E557" s="21"/>
      <c r="F557" s="21"/>
      <c r="G557" s="764"/>
      <c r="H557" s="21"/>
      <c r="I557" s="21"/>
      <c r="J557" s="21"/>
      <c r="K557" s="21"/>
      <c r="L557" s="21"/>
      <c r="M557" s="21"/>
      <c r="N557" s="50"/>
      <c r="O557" s="1013"/>
      <c r="P557" s="21"/>
      <c r="Q557" s="21"/>
      <c r="R557" s="876"/>
      <c r="S557" s="764"/>
      <c r="T557" s="764"/>
      <c r="U557" s="1367"/>
      <c r="V557" s="78"/>
      <c r="W557" s="21"/>
      <c r="X557" s="21"/>
      <c r="Y557" s="21"/>
      <c r="Z557" s="21"/>
    </row>
    <row r="558" spans="1:26" s="962" customFormat="1" ht="12" customHeight="1">
      <c r="A558" s="21"/>
      <c r="B558" s="21"/>
      <c r="C558" s="30"/>
      <c r="D558" s="30"/>
      <c r="E558" s="21"/>
      <c r="F558" s="21"/>
      <c r="G558" s="764"/>
      <c r="H558" s="21"/>
      <c r="I558" s="21"/>
      <c r="J558" s="21"/>
      <c r="K558" s="21"/>
      <c r="L558" s="21"/>
      <c r="M558" s="21"/>
      <c r="N558" s="50"/>
      <c r="O558" s="1013"/>
      <c r="P558" s="21"/>
      <c r="Q558" s="21"/>
      <c r="R558" s="876"/>
      <c r="S558" s="764"/>
      <c r="T558" s="764"/>
      <c r="U558" s="1367"/>
      <c r="V558" s="78"/>
      <c r="W558" s="21"/>
      <c r="X558" s="21"/>
      <c r="Y558" s="21"/>
      <c r="Z558" s="21"/>
    </row>
    <row r="559" spans="1:26" s="689" customFormat="1" ht="12" customHeight="1">
      <c r="A559" s="21"/>
      <c r="B559" s="21"/>
      <c r="C559" s="30"/>
      <c r="D559" s="30"/>
      <c r="E559" s="21"/>
      <c r="F559" s="21"/>
      <c r="G559" s="764"/>
      <c r="H559" s="21"/>
      <c r="I559" s="21"/>
      <c r="J559" s="21"/>
      <c r="K559" s="21"/>
      <c r="L559" s="21"/>
      <c r="M559" s="21"/>
      <c r="N559" s="50"/>
      <c r="O559" s="1013"/>
      <c r="P559" s="21"/>
      <c r="Q559" s="21"/>
      <c r="R559" s="876"/>
      <c r="S559" s="764"/>
      <c r="T559" s="764"/>
      <c r="U559" s="1367"/>
      <c r="V559" s="78"/>
      <c r="W559" s="21"/>
      <c r="X559" s="21"/>
      <c r="Y559" s="21"/>
      <c r="Z559" s="21"/>
    </row>
    <row r="560" spans="1:26" s="355" customFormat="1" ht="12" customHeight="1">
      <c r="A560" s="21"/>
      <c r="B560" s="21"/>
      <c r="C560" s="30"/>
      <c r="D560" s="30"/>
      <c r="E560" s="21"/>
      <c r="F560" s="21"/>
      <c r="G560" s="764"/>
      <c r="H560" s="21"/>
      <c r="I560" s="21"/>
      <c r="J560" s="21"/>
      <c r="K560" s="21"/>
      <c r="L560" s="21"/>
      <c r="M560" s="21"/>
      <c r="N560" s="50"/>
      <c r="O560" s="1013"/>
      <c r="P560" s="21"/>
      <c r="Q560" s="21"/>
      <c r="R560" s="876"/>
      <c r="S560" s="764"/>
      <c r="T560" s="764"/>
      <c r="U560" s="1367"/>
      <c r="V560" s="78"/>
      <c r="W560" s="21"/>
      <c r="X560" s="21"/>
      <c r="Y560" s="21"/>
      <c r="Z560" s="21"/>
    </row>
    <row r="561" spans="1:26" s="115" customFormat="1" ht="12" customHeight="1">
      <c r="A561" s="21"/>
      <c r="B561" s="21"/>
      <c r="C561" s="30"/>
      <c r="D561" s="30"/>
      <c r="E561" s="21"/>
      <c r="F561" s="21"/>
      <c r="G561" s="764"/>
      <c r="H561" s="21"/>
      <c r="I561" s="21"/>
      <c r="J561" s="21"/>
      <c r="K561" s="21"/>
      <c r="L561" s="21"/>
      <c r="M561" s="21"/>
      <c r="N561" s="51"/>
      <c r="O561" s="1013"/>
      <c r="P561" s="21"/>
      <c r="Q561" s="21"/>
      <c r="R561" s="876"/>
      <c r="S561" s="764"/>
      <c r="T561" s="764"/>
      <c r="U561" s="1367"/>
      <c r="V561" s="78"/>
      <c r="W561" s="21"/>
      <c r="X561" s="21"/>
      <c r="Y561" s="21"/>
      <c r="Z561" s="21"/>
    </row>
    <row r="562" spans="1:26" s="498" customFormat="1" ht="12" customHeight="1">
      <c r="A562" s="8"/>
      <c r="B562" s="8"/>
      <c r="C562" s="31"/>
      <c r="D562" s="31"/>
      <c r="E562" s="8"/>
      <c r="F562" s="8"/>
      <c r="G562" s="132"/>
      <c r="H562" s="8"/>
      <c r="I562" s="8"/>
      <c r="J562" s="8"/>
      <c r="K562" s="817"/>
      <c r="L562" s="8"/>
      <c r="M562" s="8"/>
      <c r="N562" s="49"/>
      <c r="O562" s="1014"/>
      <c r="P562" s="8"/>
      <c r="Q562" s="8"/>
      <c r="R562" s="685"/>
      <c r="S562" s="132"/>
      <c r="T562" s="132"/>
      <c r="U562" s="603"/>
      <c r="V562" s="86"/>
      <c r="W562" s="8"/>
      <c r="X562" s="814"/>
      <c r="Y562" s="8"/>
      <c r="Z562" s="8"/>
    </row>
    <row r="563" spans="1:26" s="115" customFormat="1" ht="12" customHeight="1">
      <c r="A563" s="10"/>
      <c r="B563" s="8"/>
      <c r="C563" s="31"/>
      <c r="D563" s="31"/>
      <c r="E563" s="8"/>
      <c r="F563" s="8"/>
      <c r="G563" s="132"/>
      <c r="H563" s="8"/>
      <c r="I563" s="8"/>
      <c r="J563" s="8"/>
      <c r="K563" s="8"/>
      <c r="L563" s="8"/>
      <c r="M563" s="8"/>
      <c r="N563" s="49"/>
      <c r="O563" s="1014"/>
      <c r="P563" s="8"/>
      <c r="Q563" s="8"/>
      <c r="R563" s="685"/>
      <c r="S563" s="132"/>
      <c r="T563" s="132"/>
      <c r="U563" s="85"/>
      <c r="V563" s="86"/>
      <c r="W563" s="8"/>
      <c r="X563" s="8"/>
      <c r="Y563" s="8"/>
      <c r="Z563" s="8"/>
    </row>
    <row r="564" spans="1:26" s="115" customFormat="1" ht="12" customHeight="1">
      <c r="A564" s="10"/>
      <c r="B564" s="8"/>
      <c r="C564" s="31"/>
      <c r="D564" s="31"/>
      <c r="E564" s="8"/>
      <c r="F564" s="8"/>
      <c r="G564" s="132"/>
      <c r="H564" s="8"/>
      <c r="I564" s="8"/>
      <c r="J564" s="8"/>
      <c r="K564" s="8"/>
      <c r="L564" s="8"/>
      <c r="M564" s="8"/>
      <c r="N564" s="49"/>
      <c r="O564" s="1014"/>
      <c r="P564" s="8"/>
      <c r="Q564" s="8"/>
      <c r="R564" s="685"/>
      <c r="S564" s="132"/>
      <c r="T564" s="132"/>
      <c r="U564" s="85"/>
      <c r="V564" s="86"/>
      <c r="W564" s="8"/>
      <c r="X564" s="8"/>
      <c r="Y564" s="8"/>
      <c r="Z564" s="8"/>
    </row>
    <row r="565" spans="1:26" s="115" customFormat="1" ht="12" customHeight="1">
      <c r="A565" s="10"/>
      <c r="B565" s="8"/>
      <c r="C565" s="31"/>
      <c r="D565" s="31"/>
      <c r="E565" s="8"/>
      <c r="F565" s="8"/>
      <c r="G565" s="132"/>
      <c r="H565" s="8"/>
      <c r="I565" s="8"/>
      <c r="J565" s="8"/>
      <c r="K565" s="8"/>
      <c r="L565" s="8"/>
      <c r="M565" s="8"/>
      <c r="N565" s="49"/>
      <c r="O565" s="1014"/>
      <c r="P565" s="8"/>
      <c r="Q565" s="8"/>
      <c r="R565" s="685"/>
      <c r="S565" s="132"/>
      <c r="T565" s="132"/>
      <c r="U565" s="85"/>
      <c r="V565" s="86"/>
      <c r="W565" s="8"/>
      <c r="X565" s="8"/>
      <c r="Y565" s="8"/>
      <c r="Z565" s="8"/>
    </row>
    <row r="566" spans="1:26" s="115" customFormat="1" ht="12" customHeight="1">
      <c r="A566" s="10"/>
      <c r="B566" s="8"/>
      <c r="C566" s="31"/>
      <c r="D566" s="31"/>
      <c r="E566" s="8"/>
      <c r="F566" s="8"/>
      <c r="G566" s="132"/>
      <c r="H566" s="8"/>
      <c r="I566" s="8"/>
      <c r="J566" s="8"/>
      <c r="K566" s="8"/>
      <c r="L566" s="8"/>
      <c r="M566" s="8"/>
      <c r="N566" s="49"/>
      <c r="O566" s="1014"/>
      <c r="P566" s="8"/>
      <c r="Q566" s="8"/>
      <c r="R566" s="685"/>
      <c r="S566" s="132"/>
      <c r="T566" s="132"/>
      <c r="U566" s="85"/>
      <c r="V566" s="86"/>
      <c r="W566" s="8"/>
      <c r="X566" s="8"/>
      <c r="Y566" s="8"/>
      <c r="Z566" s="8"/>
    </row>
    <row r="567" spans="1:26" s="115" customFormat="1" ht="12" customHeight="1">
      <c r="A567" s="8"/>
      <c r="B567" s="8"/>
      <c r="C567" s="31"/>
      <c r="D567" s="31"/>
      <c r="E567" s="8"/>
      <c r="F567" s="8"/>
      <c r="G567" s="132"/>
      <c r="H567" s="8"/>
      <c r="I567" s="8"/>
      <c r="J567" s="8"/>
      <c r="K567" s="8"/>
      <c r="L567" s="8"/>
      <c r="M567" s="8"/>
      <c r="N567" s="49"/>
      <c r="O567" s="1014"/>
      <c r="P567" s="8"/>
      <c r="Q567" s="8"/>
      <c r="R567" s="685"/>
      <c r="S567" s="132"/>
      <c r="T567" s="132"/>
      <c r="U567" s="603"/>
      <c r="V567" s="86"/>
      <c r="W567" s="8"/>
      <c r="X567" s="8"/>
      <c r="Y567" s="8"/>
      <c r="Z567" s="8"/>
    </row>
    <row r="568" spans="1:26" s="115" customFormat="1" ht="12" customHeight="1">
      <c r="A568" s="10"/>
      <c r="B568" s="8"/>
      <c r="C568" s="31"/>
      <c r="D568" s="31"/>
      <c r="E568" s="8"/>
      <c r="F568" s="8"/>
      <c r="G568" s="132"/>
      <c r="H568" s="8"/>
      <c r="I568" s="8"/>
      <c r="J568" s="8"/>
      <c r="K568" s="8"/>
      <c r="L568" s="8"/>
      <c r="M568" s="8"/>
      <c r="N568" s="49"/>
      <c r="O568" s="1014"/>
      <c r="P568" s="8"/>
      <c r="Q568" s="8"/>
      <c r="R568" s="685"/>
      <c r="S568" s="132"/>
      <c r="T568" s="132"/>
      <c r="U568" s="19"/>
      <c r="V568" s="86"/>
      <c r="W568" s="8"/>
      <c r="X568" s="8"/>
      <c r="Y568" s="8"/>
      <c r="Z568" s="8"/>
    </row>
    <row r="569" spans="1:26" s="115" customFormat="1" ht="12" customHeight="1">
      <c r="A569" s="8"/>
      <c r="B569" s="8"/>
      <c r="C569" s="31"/>
      <c r="D569" s="31"/>
      <c r="E569" s="8"/>
      <c r="F569" s="8"/>
      <c r="G569" s="132"/>
      <c r="H569" s="808"/>
      <c r="I569" s="8"/>
      <c r="J569" s="8"/>
      <c r="K569" s="8"/>
      <c r="L569" s="8"/>
      <c r="M569" s="8"/>
      <c r="N569" s="49"/>
      <c r="O569" s="1014"/>
      <c r="P569" s="8"/>
      <c r="Q569" s="8"/>
      <c r="R569" s="685"/>
      <c r="S569" s="132"/>
      <c r="T569" s="132"/>
      <c r="U569" s="603"/>
      <c r="V569" s="86"/>
      <c r="W569" s="8"/>
      <c r="X569" s="8"/>
      <c r="Y569" s="8"/>
      <c r="Z569" s="8"/>
    </row>
    <row r="570" spans="1:26" s="689" customFormat="1" ht="12" customHeight="1">
      <c r="A570" s="809"/>
      <c r="B570" s="8"/>
      <c r="C570" s="31"/>
      <c r="D570" s="31"/>
      <c r="E570" s="8"/>
      <c r="F570" s="8"/>
      <c r="G570" s="132"/>
      <c r="H570" s="8"/>
      <c r="I570" s="8"/>
      <c r="J570" s="8"/>
      <c r="K570" s="8"/>
      <c r="L570" s="8"/>
      <c r="M570" s="8"/>
      <c r="N570" s="49"/>
      <c r="O570" s="1014"/>
      <c r="P570" s="8"/>
      <c r="Q570" s="8"/>
      <c r="R570" s="685"/>
      <c r="S570" s="132"/>
      <c r="T570" s="132"/>
      <c r="U570" s="1355"/>
      <c r="V570" s="86"/>
      <c r="W570" s="8"/>
      <c r="X570" s="8"/>
      <c r="Y570" s="8"/>
      <c r="Z570" s="8"/>
    </row>
    <row r="571" spans="1:26" s="115" customFormat="1" ht="12" customHeight="1">
      <c r="A571" s="1245"/>
      <c r="B571" s="8"/>
      <c r="C571" s="31"/>
      <c r="D571" s="31"/>
      <c r="E571" s="811"/>
      <c r="F571" s="8"/>
      <c r="G571" s="132"/>
      <c r="H571" s="8"/>
      <c r="I571" s="8"/>
      <c r="J571" s="8"/>
      <c r="K571" s="8"/>
      <c r="L571" s="8"/>
      <c r="M571" s="8"/>
      <c r="N571" s="49"/>
      <c r="O571" s="1014"/>
      <c r="P571" s="8"/>
      <c r="Q571" s="8"/>
      <c r="R571" s="685"/>
      <c r="S571" s="132"/>
      <c r="T571" s="132"/>
      <c r="U571" s="810"/>
      <c r="V571" s="86"/>
      <c r="W571" s="8"/>
      <c r="X571" s="8"/>
      <c r="Y571" s="8"/>
      <c r="Z571" s="8"/>
    </row>
    <row r="572" spans="1:26" s="115" customFormat="1" ht="12" customHeight="1">
      <c r="A572" s="809"/>
      <c r="B572" s="8"/>
      <c r="C572" s="31"/>
      <c r="D572" s="31"/>
      <c r="E572" s="811"/>
      <c r="F572" s="8"/>
      <c r="G572" s="132"/>
      <c r="H572" s="8"/>
      <c r="I572" s="8"/>
      <c r="J572" s="8"/>
      <c r="K572" s="8"/>
      <c r="L572" s="8"/>
      <c r="M572" s="8"/>
      <c r="N572" s="49"/>
      <c r="O572" s="1014"/>
      <c r="P572" s="8"/>
      <c r="Q572" s="8"/>
      <c r="R572" s="685"/>
      <c r="S572" s="132"/>
      <c r="T572" s="132"/>
      <c r="U572" s="85"/>
      <c r="V572" s="86"/>
      <c r="W572" s="8"/>
      <c r="X572" s="8"/>
      <c r="Y572" s="8"/>
      <c r="Z572" s="8"/>
    </row>
    <row r="573" spans="1:26" s="408" customFormat="1" ht="12" customHeight="1">
      <c r="A573" s="49"/>
      <c r="B573" s="8"/>
      <c r="C573" s="31"/>
      <c r="D573" s="31"/>
      <c r="E573" s="811"/>
      <c r="F573" s="8"/>
      <c r="G573" s="132"/>
      <c r="H573" s="8"/>
      <c r="I573" s="8"/>
      <c r="J573" s="8"/>
      <c r="K573" s="8"/>
      <c r="L573" s="8"/>
      <c r="M573" s="8"/>
      <c r="N573" s="49"/>
      <c r="O573" s="1014"/>
      <c r="P573" s="8"/>
      <c r="Q573" s="8"/>
      <c r="R573" s="685"/>
      <c r="S573" s="132"/>
      <c r="T573" s="132"/>
      <c r="U573" s="810"/>
      <c r="V573" s="86"/>
      <c r="W573" s="8"/>
      <c r="X573" s="8"/>
      <c r="Y573" s="8"/>
      <c r="Z573" s="8"/>
    </row>
    <row r="574" spans="1:26" s="115" customFormat="1" ht="12" customHeight="1">
      <c r="A574" s="49"/>
      <c r="B574" s="8"/>
      <c r="C574" s="31"/>
      <c r="D574" s="31"/>
      <c r="E574" s="8"/>
      <c r="F574" s="8"/>
      <c r="G574" s="132"/>
      <c r="H574" s="8"/>
      <c r="I574" s="8"/>
      <c r="J574" s="8"/>
      <c r="K574" s="8"/>
      <c r="L574" s="8"/>
      <c r="M574" s="8"/>
      <c r="N574" s="49"/>
      <c r="O574" s="1014"/>
      <c r="P574" s="8"/>
      <c r="Q574" s="8"/>
      <c r="R574" s="685"/>
      <c r="S574" s="132"/>
      <c r="T574" s="132"/>
      <c r="U574" s="812"/>
      <c r="V574" s="86"/>
      <c r="W574" s="8"/>
      <c r="X574" s="8"/>
      <c r="Y574" s="8"/>
      <c r="Z574" s="8"/>
    </row>
    <row r="575" spans="1:26" ht="12" customHeight="1" thickBot="1">
      <c r="A575" s="10"/>
      <c r="N575" s="49"/>
      <c r="O575" s="1014"/>
      <c r="U575" s="812"/>
    </row>
    <row r="576" spans="1:26" ht="12" customHeight="1" thickBot="1">
      <c r="A576" s="1244"/>
      <c r="B576" s="782"/>
      <c r="D576" s="1309"/>
      <c r="E576" s="782"/>
      <c r="N576" s="73"/>
      <c r="O576" s="1014"/>
      <c r="U576" s="1356"/>
    </row>
    <row r="577" spans="1:26" ht="12" customHeight="1" thickBot="1">
      <c r="A577" s="519"/>
      <c r="B577" s="541"/>
      <c r="C577" s="1294"/>
      <c r="D577" s="654"/>
      <c r="E577" s="1694"/>
      <c r="L577" s="814">
        <f>O565-U565</f>
        <v>0</v>
      </c>
      <c r="N577" s="73"/>
      <c r="O577" s="1014"/>
      <c r="S577" s="132">
        <f>O567-U567</f>
        <v>0</v>
      </c>
      <c r="U577" s="1355"/>
    </row>
    <row r="578" spans="1:26" ht="12" customHeight="1" thickBot="1">
      <c r="D578" s="654"/>
      <c r="E578" s="13"/>
      <c r="N578" s="49"/>
      <c r="O578" s="1014"/>
      <c r="U578" s="1355"/>
    </row>
    <row r="579" spans="1:26" ht="12" customHeight="1" thickBot="1">
      <c r="A579" s="1244"/>
      <c r="B579" s="782"/>
      <c r="D579" s="654"/>
      <c r="E579" s="1694"/>
      <c r="N579" s="49"/>
      <c r="O579" s="1014"/>
      <c r="U579" s="1365"/>
    </row>
    <row r="580" spans="1:26" ht="12" customHeight="1" thickBot="1">
      <c r="A580" s="1253"/>
      <c r="B580" s="1281"/>
      <c r="D580" s="654"/>
      <c r="E580" s="13"/>
      <c r="N580" s="49"/>
      <c r="O580" s="1014"/>
      <c r="U580" s="1355"/>
    </row>
    <row r="581" spans="1:26" ht="12" customHeight="1" thickBot="1">
      <c r="A581" s="10"/>
      <c r="B581" s="13"/>
      <c r="D581" s="567"/>
      <c r="E581" s="541"/>
      <c r="N581" s="49"/>
      <c r="O581" s="1014"/>
      <c r="U581" s="1355"/>
    </row>
    <row r="582" spans="1:26" ht="12" customHeight="1" thickBot="1">
      <c r="A582" s="519"/>
      <c r="B582" s="541"/>
      <c r="D582" s="567"/>
      <c r="E582" s="541"/>
      <c r="N582" s="49"/>
      <c r="O582" s="1014"/>
      <c r="U582" s="1355"/>
    </row>
    <row r="583" spans="1:26" ht="12" customHeight="1">
      <c r="A583" s="510"/>
      <c r="B583" s="7"/>
      <c r="C583" s="29"/>
      <c r="D583" s="29"/>
      <c r="F583" s="7"/>
      <c r="G583" s="133"/>
      <c r="H583" s="7"/>
      <c r="I583" s="7"/>
      <c r="J583" s="7"/>
      <c r="K583" s="7"/>
      <c r="L583" s="7"/>
      <c r="M583" s="7"/>
      <c r="N583" s="7"/>
      <c r="O583" s="1012"/>
      <c r="P583" s="7"/>
      <c r="S583" s="133"/>
      <c r="T583" s="133"/>
      <c r="U583" s="1361"/>
    </row>
    <row r="584" spans="1:26" ht="12" customHeight="1">
      <c r="A584" s="510"/>
      <c r="B584" s="773"/>
      <c r="C584" s="29"/>
      <c r="D584" s="29"/>
      <c r="F584" s="7"/>
      <c r="G584" s="133"/>
      <c r="H584" s="7"/>
      <c r="I584" s="7"/>
      <c r="J584" s="7"/>
      <c r="K584" s="7"/>
      <c r="L584" s="7"/>
      <c r="M584" s="7"/>
      <c r="N584" s="7"/>
      <c r="O584" s="1012"/>
      <c r="P584" s="7"/>
      <c r="S584" s="133"/>
      <c r="T584" s="133"/>
      <c r="U584" s="1361"/>
    </row>
    <row r="585" spans="1:26" ht="12" customHeight="1">
      <c r="A585" s="510"/>
      <c r="B585" s="7"/>
      <c r="C585" s="29"/>
      <c r="D585" s="1266" t="s">
        <v>576</v>
      </c>
      <c r="F585" s="7"/>
      <c r="G585" s="133"/>
      <c r="H585" s="7"/>
      <c r="I585" s="7"/>
      <c r="J585" s="7"/>
      <c r="K585" s="7"/>
      <c r="L585" s="7"/>
      <c r="M585" s="7"/>
      <c r="N585" s="7"/>
      <c r="O585" s="1012"/>
      <c r="P585" s="7"/>
      <c r="S585" s="133"/>
      <c r="T585" s="133"/>
      <c r="U585" s="784"/>
    </row>
    <row r="586" spans="1:26" ht="12" customHeight="1">
      <c r="A586" s="510"/>
      <c r="B586" s="7"/>
      <c r="C586" s="29"/>
      <c r="D586" s="1266" t="s">
        <v>577</v>
      </c>
      <c r="F586" s="7"/>
      <c r="G586" s="133"/>
      <c r="H586" s="7"/>
      <c r="I586" s="7"/>
      <c r="J586" s="7"/>
      <c r="K586" s="7"/>
      <c r="L586" s="7"/>
      <c r="M586" s="7"/>
      <c r="N586" s="7"/>
      <c r="O586" s="1012"/>
      <c r="P586" s="7"/>
      <c r="S586" s="133"/>
      <c r="T586" s="133"/>
      <c r="U586" s="784"/>
    </row>
    <row r="587" spans="1:26" ht="12" customHeight="1">
      <c r="A587" s="10"/>
      <c r="B587" s="773"/>
      <c r="C587" s="29"/>
      <c r="D587" s="29"/>
      <c r="E587" s="7"/>
      <c r="F587" s="7"/>
      <c r="G587" s="133"/>
      <c r="H587" s="7"/>
      <c r="I587" s="7"/>
      <c r="J587" s="7"/>
      <c r="K587" s="7"/>
      <c r="L587" s="7"/>
      <c r="M587" s="7"/>
      <c r="N587" s="7"/>
      <c r="O587" s="1012"/>
      <c r="P587" s="7"/>
      <c r="S587" s="133"/>
      <c r="T587" s="133"/>
      <c r="U587" s="1361"/>
    </row>
    <row r="588" spans="1:26" s="115" customFormat="1" ht="12" customHeight="1">
      <c r="A588" s="10"/>
      <c r="B588" s="773"/>
      <c r="C588" s="29"/>
      <c r="D588" s="29"/>
      <c r="E588" s="7"/>
      <c r="F588" s="7"/>
      <c r="G588" s="133"/>
      <c r="H588" s="7"/>
      <c r="I588" s="7"/>
      <c r="J588" s="7"/>
      <c r="K588" s="7"/>
      <c r="L588" s="7"/>
      <c r="M588" s="7"/>
      <c r="N588" s="7"/>
      <c r="O588" s="1012"/>
      <c r="P588" s="7"/>
      <c r="Q588" s="8"/>
      <c r="R588" s="685"/>
      <c r="S588" s="133"/>
      <c r="T588" s="133"/>
      <c r="U588" s="1361"/>
      <c r="V588" s="86"/>
      <c r="W588" s="8"/>
      <c r="X588" s="8"/>
      <c r="Y588" s="8"/>
      <c r="Z588" s="8"/>
    </row>
    <row r="589" spans="1:26" s="1069" customFormat="1" ht="12" customHeight="1">
      <c r="A589" s="10"/>
      <c r="B589" s="773"/>
      <c r="C589" s="29"/>
      <c r="D589" s="29"/>
      <c r="E589" s="7"/>
      <c r="F589" s="7"/>
      <c r="G589" s="133"/>
      <c r="H589" s="7"/>
      <c r="I589" s="7"/>
      <c r="J589" s="7"/>
      <c r="K589" s="7"/>
      <c r="L589" s="7"/>
      <c r="M589" s="7"/>
      <c r="N589" s="7"/>
      <c r="O589" s="1012"/>
      <c r="P589" s="7"/>
      <c r="Q589" s="8"/>
      <c r="R589" s="685"/>
      <c r="S589" s="133"/>
      <c r="T589" s="133"/>
      <c r="U589" s="1361"/>
      <c r="V589" s="86"/>
      <c r="W589" s="8"/>
      <c r="X589" s="8"/>
      <c r="Y589" s="8"/>
      <c r="Z589" s="8"/>
    </row>
    <row r="590" spans="1:26" s="1090" customFormat="1" ht="12" customHeight="1">
      <c r="A590" s="10"/>
      <c r="B590" s="773"/>
      <c r="C590" s="29"/>
      <c r="D590" s="29"/>
      <c r="E590" s="7"/>
      <c r="F590" s="7"/>
      <c r="G590" s="133"/>
      <c r="H590" s="7"/>
      <c r="I590" s="7"/>
      <c r="J590" s="7"/>
      <c r="K590" s="7"/>
      <c r="L590" s="7"/>
      <c r="M590" s="7"/>
      <c r="N590" s="7"/>
      <c r="O590" s="1012"/>
      <c r="P590" s="7"/>
      <c r="Q590" s="8"/>
      <c r="R590" s="685"/>
      <c r="S590" s="133"/>
      <c r="T590" s="133"/>
      <c r="U590" s="1361"/>
      <c r="V590" s="86"/>
      <c r="W590" s="8"/>
      <c r="X590" s="8"/>
      <c r="Y590" s="8"/>
      <c r="Z590" s="8"/>
    </row>
    <row r="591" spans="1:26" s="973" customFormat="1" ht="12" customHeight="1">
      <c r="A591" s="10"/>
      <c r="B591" s="773"/>
      <c r="C591" s="29"/>
      <c r="D591" s="29"/>
      <c r="E591" s="7"/>
      <c r="F591" s="7"/>
      <c r="G591" s="133"/>
      <c r="H591" s="7"/>
      <c r="I591" s="7"/>
      <c r="J591" s="7"/>
      <c r="K591" s="7"/>
      <c r="L591" s="7"/>
      <c r="M591" s="7"/>
      <c r="N591" s="7"/>
      <c r="O591" s="1012"/>
      <c r="P591" s="7"/>
      <c r="Q591" s="8"/>
      <c r="R591" s="685"/>
      <c r="S591" s="133"/>
      <c r="T591" s="133"/>
      <c r="U591" s="1361"/>
      <c r="V591" s="86"/>
      <c r="W591" s="8"/>
      <c r="X591" s="8"/>
      <c r="Y591" s="8"/>
      <c r="Z591" s="8"/>
    </row>
    <row r="592" spans="1:26" s="115" customFormat="1" ht="12" customHeight="1">
      <c r="A592" s="10"/>
      <c r="B592" s="773"/>
      <c r="C592" s="29"/>
      <c r="D592" s="29"/>
      <c r="E592" s="7"/>
      <c r="F592" s="7"/>
      <c r="G592" s="133"/>
      <c r="H592" s="7"/>
      <c r="I592" s="7"/>
      <c r="J592" s="7"/>
      <c r="K592" s="7"/>
      <c r="L592" s="7"/>
      <c r="M592" s="7"/>
      <c r="N592" s="7"/>
      <c r="O592" s="1012"/>
      <c r="P592" s="7"/>
      <c r="Q592" s="8"/>
      <c r="R592" s="685"/>
      <c r="S592" s="133"/>
      <c r="T592" s="133"/>
      <c r="U592" s="1361"/>
      <c r="V592" s="86"/>
      <c r="W592" s="8"/>
      <c r="X592" s="8"/>
      <c r="Y592" s="8"/>
      <c r="Z592" s="8"/>
    </row>
    <row r="593" spans="1:26" s="115" customFormat="1" ht="12" customHeight="1">
      <c r="A593" s="8"/>
      <c r="B593" s="773"/>
      <c r="C593" s="29"/>
      <c r="D593" s="29"/>
      <c r="E593" s="7"/>
      <c r="F593" s="7"/>
      <c r="G593" s="133"/>
      <c r="H593" s="7"/>
      <c r="I593" s="7"/>
      <c r="J593" s="7"/>
      <c r="K593" s="7"/>
      <c r="L593" s="7"/>
      <c r="M593" s="7"/>
      <c r="N593" s="7"/>
      <c r="O593" s="1012"/>
      <c r="P593" s="7"/>
      <c r="Q593" s="8"/>
      <c r="R593" s="685"/>
      <c r="S593" s="133"/>
      <c r="T593" s="133"/>
      <c r="U593" s="74"/>
      <c r="V593" s="86"/>
      <c r="W593" s="8"/>
      <c r="X593" s="8"/>
      <c r="Y593" s="8"/>
      <c r="Z593" s="8"/>
    </row>
    <row r="594" spans="1:26" s="1090" customFormat="1" ht="12" customHeight="1">
      <c r="A594" s="10"/>
      <c r="B594" s="773"/>
      <c r="C594" s="29"/>
      <c r="D594" s="29"/>
      <c r="E594" s="7"/>
      <c r="F594" s="7"/>
      <c r="G594" s="133"/>
      <c r="H594" s="7"/>
      <c r="I594" s="7"/>
      <c r="J594" s="7"/>
      <c r="K594" s="7"/>
      <c r="L594" s="7"/>
      <c r="M594" s="7"/>
      <c r="N594" s="7"/>
      <c r="O594" s="1012"/>
      <c r="P594" s="7"/>
      <c r="Q594" s="8"/>
      <c r="R594" s="685"/>
      <c r="S594" s="133"/>
      <c r="T594" s="133"/>
      <c r="U594" s="1361"/>
      <c r="V594" s="86"/>
      <c r="W594" s="8"/>
      <c r="X594" s="8"/>
      <c r="Y594" s="8"/>
      <c r="Z594" s="8"/>
    </row>
    <row r="595" spans="1:26" s="689" customFormat="1" ht="12" customHeight="1">
      <c r="A595" s="9"/>
      <c r="B595" s="773"/>
      <c r="C595" s="29"/>
      <c r="D595" s="29"/>
      <c r="E595" s="7"/>
      <c r="F595" s="7"/>
      <c r="G595" s="133"/>
      <c r="H595" s="7"/>
      <c r="I595" s="7"/>
      <c r="J595" s="7"/>
      <c r="K595" s="7"/>
      <c r="L595" s="7"/>
      <c r="M595" s="7"/>
      <c r="N595" s="7"/>
      <c r="O595" s="1012"/>
      <c r="P595" s="7"/>
      <c r="Q595" s="8"/>
      <c r="R595" s="685"/>
      <c r="S595" s="133"/>
      <c r="T595" s="133"/>
      <c r="U595" s="74"/>
      <c r="V595" s="86"/>
      <c r="W595" s="8"/>
      <c r="X595" s="8"/>
      <c r="Y595" s="8"/>
      <c r="Z595" s="8"/>
    </row>
    <row r="596" spans="1:26" s="1052" customFormat="1" ht="12" customHeight="1">
      <c r="A596" s="10"/>
      <c r="B596" s="8"/>
      <c r="C596" s="31"/>
      <c r="D596" s="31"/>
      <c r="E596" s="8"/>
      <c r="F596" s="8"/>
      <c r="G596" s="132"/>
      <c r="H596" s="8"/>
      <c r="I596" s="8"/>
      <c r="J596" s="8"/>
      <c r="K596" s="8"/>
      <c r="L596" s="8"/>
      <c r="M596" s="8"/>
      <c r="N596" s="128" t="s">
        <v>1684</v>
      </c>
      <c r="O596" s="1014"/>
      <c r="P596" s="8"/>
      <c r="Q596" s="8"/>
      <c r="R596" s="685"/>
      <c r="S596" s="132"/>
      <c r="T596" s="132"/>
      <c r="U596" s="85"/>
      <c r="V596" s="86"/>
      <c r="W596" s="8"/>
      <c r="X596" s="8"/>
      <c r="Y596" s="8"/>
      <c r="Z596" s="8"/>
    </row>
    <row r="597" spans="1:26" s="689" customFormat="1" ht="12" customHeight="1">
      <c r="A597" s="21"/>
      <c r="B597" s="21"/>
      <c r="C597" s="30"/>
      <c r="D597" s="30"/>
      <c r="E597" s="21"/>
      <c r="F597" s="21"/>
      <c r="G597" s="764"/>
      <c r="H597" s="21"/>
      <c r="I597" s="21"/>
      <c r="J597" s="21"/>
      <c r="K597" s="21"/>
      <c r="L597" s="21"/>
      <c r="M597" s="21"/>
      <c r="N597" s="128" t="s">
        <v>1791</v>
      </c>
      <c r="O597" s="1013"/>
      <c r="P597" s="21"/>
      <c r="Q597" s="21"/>
      <c r="R597" s="876"/>
      <c r="S597" s="764"/>
      <c r="T597" s="764"/>
      <c r="U597" s="1367"/>
      <c r="V597" s="78"/>
      <c r="W597" s="21"/>
      <c r="X597" s="21"/>
      <c r="Y597" s="21"/>
      <c r="Z597" s="21"/>
    </row>
    <row r="598" spans="1:26" s="446" customFormat="1" ht="13.2">
      <c r="A598" s="21"/>
      <c r="B598" s="21"/>
      <c r="C598" s="30"/>
      <c r="D598" s="30"/>
      <c r="E598" s="21"/>
      <c r="F598" s="21"/>
      <c r="G598" s="764"/>
      <c r="H598" s="21"/>
      <c r="I598" s="21"/>
      <c r="J598" s="21"/>
      <c r="K598" s="21"/>
      <c r="L598" s="21"/>
      <c r="M598" s="21"/>
      <c r="N598" s="49"/>
      <c r="O598" s="1013"/>
      <c r="P598" s="21"/>
      <c r="Q598" s="21"/>
      <c r="R598" s="876"/>
      <c r="S598" s="764"/>
      <c r="T598" s="764"/>
      <c r="U598" s="1367"/>
      <c r="V598" s="78"/>
      <c r="W598" s="21"/>
      <c r="X598" s="21"/>
      <c r="Y598" s="21"/>
      <c r="Z598" s="21"/>
    </row>
    <row r="599" spans="1:26" s="1136" customFormat="1" ht="12" customHeight="1">
      <c r="A599" s="21"/>
      <c r="B599" s="21"/>
      <c r="C599" s="30"/>
      <c r="D599" s="30"/>
      <c r="E599" s="21"/>
      <c r="F599" s="21"/>
      <c r="G599" s="764"/>
      <c r="H599" s="21"/>
      <c r="I599" s="21"/>
      <c r="J599" s="21"/>
      <c r="K599" s="21"/>
      <c r="L599" s="21"/>
      <c r="M599" s="21"/>
      <c r="N599" s="51"/>
      <c r="O599" s="1013"/>
      <c r="P599" s="21"/>
      <c r="Q599" s="21"/>
      <c r="R599" s="876"/>
      <c r="S599" s="764"/>
      <c r="T599" s="764"/>
      <c r="U599" s="1367"/>
      <c r="V599" s="78"/>
      <c r="W599" s="21"/>
      <c r="X599" s="21"/>
      <c r="Y599" s="21"/>
      <c r="Z599" s="21"/>
    </row>
    <row r="600" spans="1:26" s="1136" customFormat="1" ht="12" customHeight="1">
      <c r="A600" s="8"/>
      <c r="B600" s="8"/>
      <c r="C600" s="31"/>
      <c r="D600" s="31"/>
      <c r="E600" s="8"/>
      <c r="F600" s="8"/>
      <c r="G600" s="132"/>
      <c r="H600" s="8"/>
      <c r="I600" s="8"/>
      <c r="J600" s="8"/>
      <c r="K600" s="817"/>
      <c r="L600" s="8"/>
      <c r="M600" s="8"/>
      <c r="N600" s="49"/>
      <c r="O600" s="1014"/>
      <c r="P600" s="8"/>
      <c r="Q600" s="8"/>
      <c r="R600" s="685"/>
      <c r="S600" s="132"/>
      <c r="T600" s="132"/>
      <c r="U600" s="603"/>
      <c r="V600" s="86"/>
      <c r="W600" s="8"/>
      <c r="X600" s="814"/>
      <c r="Y600" s="8"/>
      <c r="Z600" s="8"/>
    </row>
    <row r="601" spans="1:26" s="408" customFormat="1" ht="12" customHeight="1">
      <c r="A601" s="8"/>
      <c r="B601" s="8"/>
      <c r="C601" s="31"/>
      <c r="D601" s="31"/>
      <c r="E601" s="8"/>
      <c r="F601" s="8"/>
      <c r="G601" s="132"/>
      <c r="H601" s="8"/>
      <c r="I601" s="8"/>
      <c r="J601" s="8"/>
      <c r="K601" s="8"/>
      <c r="L601" s="8"/>
      <c r="M601" s="8"/>
      <c r="N601" s="49"/>
      <c r="O601" s="1014"/>
      <c r="P601" s="8"/>
      <c r="Q601" s="8"/>
      <c r="R601" s="685"/>
      <c r="S601" s="132"/>
      <c r="T601" s="132"/>
      <c r="U601" s="603"/>
      <c r="V601" s="86"/>
      <c r="W601" s="8"/>
      <c r="X601" s="8"/>
      <c r="Y601" s="8"/>
      <c r="Z601" s="8"/>
    </row>
    <row r="602" spans="1:26" s="1136" customFormat="1" ht="12" customHeight="1">
      <c r="A602" s="8"/>
      <c r="B602" s="8"/>
      <c r="C602" s="31"/>
      <c r="D602" s="31"/>
      <c r="E602" s="8"/>
      <c r="F602" s="8"/>
      <c r="G602" s="132"/>
      <c r="H602" s="8"/>
      <c r="I602" s="8"/>
      <c r="J602" s="8"/>
      <c r="K602" s="8"/>
      <c r="L602" s="8"/>
      <c r="M602" s="8"/>
      <c r="N602" s="49"/>
      <c r="O602" s="1014"/>
      <c r="P602" s="8"/>
      <c r="Q602" s="8"/>
      <c r="R602" s="685"/>
      <c r="S602" s="132"/>
      <c r="T602" s="132"/>
      <c r="U602" s="85"/>
      <c r="V602" s="86"/>
      <c r="W602" s="8"/>
      <c r="X602" s="8"/>
      <c r="Y602" s="8"/>
      <c r="Z602" s="8"/>
    </row>
    <row r="603" spans="1:26" s="1136" customFormat="1" ht="12" customHeight="1">
      <c r="A603" s="8"/>
      <c r="B603" s="8"/>
      <c r="C603" s="31"/>
      <c r="D603" s="31"/>
      <c r="E603" s="8"/>
      <c r="F603" s="8"/>
      <c r="G603" s="132"/>
      <c r="H603" s="8"/>
      <c r="I603" s="8"/>
      <c r="J603" s="8"/>
      <c r="K603" s="8"/>
      <c r="L603" s="8"/>
      <c r="M603" s="8"/>
      <c r="N603" s="49"/>
      <c r="O603" s="1014"/>
      <c r="P603" s="8"/>
      <c r="Q603" s="8"/>
      <c r="R603" s="685"/>
      <c r="S603" s="132"/>
      <c r="T603" s="132"/>
      <c r="U603" s="85"/>
      <c r="V603" s="86"/>
      <c r="W603" s="8"/>
      <c r="X603" s="8"/>
      <c r="Y603" s="8"/>
      <c r="Z603" s="8"/>
    </row>
    <row r="604" spans="1:26" s="1136" customFormat="1" ht="12" customHeight="1">
      <c r="A604" s="8"/>
      <c r="B604" s="8"/>
      <c r="C604" s="31"/>
      <c r="D604" s="31"/>
      <c r="E604" s="8"/>
      <c r="F604" s="8"/>
      <c r="G604" s="132"/>
      <c r="H604" s="8"/>
      <c r="I604" s="8"/>
      <c r="J604" s="8"/>
      <c r="K604" s="8"/>
      <c r="L604" s="8"/>
      <c r="M604" s="8"/>
      <c r="N604" s="49"/>
      <c r="O604" s="1014"/>
      <c r="P604" s="8"/>
      <c r="Q604" s="8"/>
      <c r="R604" s="685"/>
      <c r="S604" s="132"/>
      <c r="T604" s="132"/>
      <c r="U604" s="85"/>
      <c r="V604" s="86"/>
      <c r="W604" s="8"/>
      <c r="X604" s="8"/>
      <c r="Y604" s="8"/>
      <c r="Z604" s="8"/>
    </row>
    <row r="605" spans="1:26" s="1136" customFormat="1" ht="12" customHeight="1">
      <c r="A605" s="8"/>
      <c r="B605" s="8"/>
      <c r="C605" s="31"/>
      <c r="D605" s="31"/>
      <c r="E605" s="8"/>
      <c r="F605" s="8"/>
      <c r="G605" s="132"/>
      <c r="H605" s="8"/>
      <c r="I605" s="8"/>
      <c r="J605" s="8"/>
      <c r="K605" s="8"/>
      <c r="L605" s="8"/>
      <c r="M605" s="8"/>
      <c r="N605" s="49"/>
      <c r="O605" s="1014"/>
      <c r="P605" s="8"/>
      <c r="Q605" s="8"/>
      <c r="R605" s="685"/>
      <c r="S605" s="132"/>
      <c r="T605" s="132"/>
      <c r="U605" s="85"/>
      <c r="V605" s="86"/>
      <c r="W605" s="8"/>
      <c r="X605" s="8"/>
      <c r="Y605" s="8"/>
      <c r="Z605" s="8"/>
    </row>
    <row r="606" spans="1:26" s="1136" customFormat="1" ht="12" customHeight="1">
      <c r="A606" s="8"/>
      <c r="B606" s="8"/>
      <c r="C606" s="31"/>
      <c r="D606" s="31"/>
      <c r="E606" s="8"/>
      <c r="F606" s="8"/>
      <c r="G606" s="132"/>
      <c r="H606" s="8"/>
      <c r="I606" s="8"/>
      <c r="J606" s="8"/>
      <c r="K606" s="8"/>
      <c r="L606" s="8"/>
      <c r="M606" s="8"/>
      <c r="N606" s="49"/>
      <c r="O606" s="1014"/>
      <c r="P606" s="8"/>
      <c r="Q606" s="8"/>
      <c r="R606" s="685"/>
      <c r="S606" s="132"/>
      <c r="T606" s="132"/>
      <c r="U606" s="19"/>
      <c r="V606" s="86"/>
      <c r="W606" s="8"/>
      <c r="X606" s="8"/>
      <c r="Y606" s="8"/>
      <c r="Z606" s="8"/>
    </row>
    <row r="607" spans="1:26" s="1148" customFormat="1" ht="12" customHeight="1">
      <c r="A607" s="10"/>
      <c r="B607" s="8"/>
      <c r="C607" s="31"/>
      <c r="D607" s="31"/>
      <c r="E607" s="8"/>
      <c r="F607" s="8"/>
      <c r="G607" s="132"/>
      <c r="H607" s="808"/>
      <c r="I607" s="8"/>
      <c r="J607" s="8"/>
      <c r="K607" s="8"/>
      <c r="L607" s="8"/>
      <c r="M607" s="8"/>
      <c r="N607" s="49"/>
      <c r="O607" s="1014"/>
      <c r="P607" s="8"/>
      <c r="Q607" s="8"/>
      <c r="R607" s="685"/>
      <c r="S607" s="132"/>
      <c r="T607" s="132"/>
      <c r="U607" s="85"/>
      <c r="V607" s="86"/>
      <c r="W607" s="8"/>
      <c r="X607" s="8"/>
      <c r="Y607" s="8"/>
      <c r="Z607" s="8"/>
    </row>
    <row r="608" spans="1:26" s="355" customFormat="1" ht="12" customHeight="1">
      <c r="A608" s="809"/>
      <c r="B608" s="8"/>
      <c r="C608" s="31"/>
      <c r="D608" s="31"/>
      <c r="E608" s="8"/>
      <c r="F608" s="8"/>
      <c r="G608" s="132"/>
      <c r="H608" s="8"/>
      <c r="I608" s="8"/>
      <c r="J608" s="8"/>
      <c r="K608" s="8"/>
      <c r="L608" s="8"/>
      <c r="M608" s="8"/>
      <c r="N608" s="49"/>
      <c r="O608" s="1014"/>
      <c r="P608" s="8"/>
      <c r="Q608" s="8"/>
      <c r="R608" s="685"/>
      <c r="S608" s="132"/>
      <c r="T608" s="132"/>
      <c r="U608" s="1355"/>
      <c r="V608" s="86"/>
      <c r="W608" s="8"/>
      <c r="X608" s="8"/>
      <c r="Y608" s="8"/>
      <c r="Z608" s="8"/>
    </row>
    <row r="609" spans="1:26" s="1136" customFormat="1" ht="12" customHeight="1">
      <c r="A609" s="809"/>
      <c r="B609" s="8"/>
      <c r="C609" s="31"/>
      <c r="D609" s="31"/>
      <c r="E609" s="811"/>
      <c r="F609" s="8"/>
      <c r="G609" s="132"/>
      <c r="H609" s="8"/>
      <c r="I609" s="8"/>
      <c r="J609" s="8"/>
      <c r="K609" s="8"/>
      <c r="L609" s="8"/>
      <c r="M609" s="8"/>
      <c r="N609" s="49"/>
      <c r="O609" s="1014"/>
      <c r="P609" s="8"/>
      <c r="Q609" s="8"/>
      <c r="R609" s="685"/>
      <c r="S609" s="132"/>
      <c r="T609" s="132"/>
      <c r="U609" s="1355"/>
      <c r="V609" s="86"/>
      <c r="W609" s="8"/>
      <c r="X609" s="8"/>
      <c r="Y609" s="8"/>
      <c r="Z609" s="8"/>
    </row>
    <row r="610" spans="1:26" s="1003" customFormat="1" ht="12" customHeight="1">
      <c r="A610" s="809"/>
      <c r="B610" s="8"/>
      <c r="C610" s="31"/>
      <c r="D610" s="31"/>
      <c r="E610" s="811"/>
      <c r="F610" s="8"/>
      <c r="G610" s="132"/>
      <c r="H610" s="8"/>
      <c r="I610" s="8"/>
      <c r="J610" s="8"/>
      <c r="K610" s="8"/>
      <c r="L610" s="8"/>
      <c r="M610" s="8"/>
      <c r="N610" s="49"/>
      <c r="O610" s="1014"/>
      <c r="P610" s="8"/>
      <c r="Q610" s="8"/>
      <c r="R610" s="685"/>
      <c r="S610" s="132"/>
      <c r="T610" s="132"/>
      <c r="U610" s="603"/>
      <c r="V610" s="86"/>
      <c r="W610" s="8"/>
      <c r="X610" s="8"/>
      <c r="Y610" s="8"/>
      <c r="Z610" s="8"/>
    </row>
    <row r="611" spans="1:26" s="1213" customFormat="1" ht="12" customHeight="1">
      <c r="A611" s="49"/>
      <c r="B611" s="8"/>
      <c r="C611" s="31"/>
      <c r="D611" s="31"/>
      <c r="E611" s="811"/>
      <c r="F611" s="8"/>
      <c r="G611" s="132"/>
      <c r="H611" s="8"/>
      <c r="I611" s="8"/>
      <c r="J611" s="8"/>
      <c r="K611" s="8"/>
      <c r="L611" s="8"/>
      <c r="M611" s="8"/>
      <c r="N611" s="49"/>
      <c r="O611" s="1014"/>
      <c r="P611" s="8"/>
      <c r="Q611" s="8"/>
      <c r="R611" s="685"/>
      <c r="S611" s="132"/>
      <c r="T611" s="132"/>
      <c r="U611" s="1355"/>
      <c r="V611" s="86"/>
      <c r="W611" s="8"/>
      <c r="X611" s="8"/>
      <c r="Y611" s="8"/>
      <c r="Z611" s="8"/>
    </row>
    <row r="612" spans="1:26" s="1136" customFormat="1" ht="12" customHeight="1">
      <c r="A612" s="1242"/>
      <c r="B612" s="8"/>
      <c r="C612" s="31"/>
      <c r="D612" s="31"/>
      <c r="E612" s="8"/>
      <c r="F612" s="8"/>
      <c r="G612" s="132"/>
      <c r="H612" s="8"/>
      <c r="I612" s="8"/>
      <c r="J612" s="8"/>
      <c r="K612" s="8"/>
      <c r="L612" s="8"/>
      <c r="M612" s="8"/>
      <c r="N612" s="49"/>
      <c r="O612" s="1014"/>
      <c r="P612" s="8"/>
      <c r="Q612" s="8"/>
      <c r="R612" s="685"/>
      <c r="S612" s="132"/>
      <c r="T612" s="132"/>
      <c r="U612" s="812"/>
      <c r="V612" s="86"/>
      <c r="W612" s="8"/>
      <c r="X612" s="8"/>
      <c r="Y612" s="8"/>
      <c r="Z612" s="8"/>
    </row>
    <row r="613" spans="1:26" s="355" customFormat="1" ht="12" customHeight="1">
      <c r="A613" s="8"/>
      <c r="B613" s="8"/>
      <c r="C613" s="31"/>
      <c r="D613" s="31"/>
      <c r="E613" s="8"/>
      <c r="F613" s="8"/>
      <c r="G613" s="132"/>
      <c r="H613" s="8"/>
      <c r="I613" s="8"/>
      <c r="J613" s="8"/>
      <c r="K613" s="8"/>
      <c r="L613" s="8"/>
      <c r="M613" s="8"/>
      <c r="N613" s="49"/>
      <c r="O613" s="1014"/>
      <c r="P613" s="8"/>
      <c r="Q613" s="8"/>
      <c r="R613" s="685"/>
      <c r="S613" s="132"/>
      <c r="T613" s="132"/>
      <c r="U613" s="812"/>
      <c r="V613" s="86"/>
      <c r="W613" s="8"/>
      <c r="X613" s="8"/>
      <c r="Y613" s="8"/>
      <c r="Z613" s="8"/>
    </row>
    <row r="614" spans="1:26" ht="12" customHeight="1">
      <c r="N614" s="73"/>
      <c r="O614" s="1014"/>
      <c r="U614" s="1356"/>
    </row>
    <row r="615" spans="1:26" ht="12" customHeight="1" thickBot="1">
      <c r="E615" s="811"/>
      <c r="L615" s="814">
        <f>O603-U603</f>
        <v>0</v>
      </c>
      <c r="N615" s="73"/>
      <c r="O615" s="1014"/>
      <c r="S615" s="132">
        <f>O605-U605</f>
        <v>0</v>
      </c>
      <c r="U615" s="1355"/>
    </row>
    <row r="616" spans="1:26" s="407" customFormat="1" ht="12" customHeight="1" thickBot="1">
      <c r="A616" s="1244"/>
      <c r="B616" s="782"/>
      <c r="C616" s="31"/>
      <c r="D616" s="1309"/>
      <c r="E616" s="782"/>
      <c r="F616" s="8"/>
      <c r="G616" s="132"/>
      <c r="H616" s="8"/>
      <c r="I616" s="8"/>
      <c r="J616" s="8"/>
      <c r="K616" s="8"/>
      <c r="L616" s="8"/>
      <c r="M616" s="8"/>
      <c r="N616" s="49"/>
      <c r="O616" s="1014"/>
      <c r="P616" s="8"/>
      <c r="Q616" s="8"/>
      <c r="R616" s="685"/>
      <c r="S616" s="132"/>
      <c r="T616" s="132"/>
      <c r="U616" s="810"/>
      <c r="V616" s="86"/>
      <c r="W616" s="8"/>
      <c r="X616" s="8"/>
      <c r="Y616" s="8"/>
      <c r="Z616" s="8"/>
    </row>
    <row r="617" spans="1:26" s="407" customFormat="1" ht="12" customHeight="1" thickBot="1">
      <c r="A617" s="519"/>
      <c r="B617" s="541"/>
      <c r="C617" s="1294"/>
      <c r="D617" s="654"/>
      <c r="E617" s="1694"/>
      <c r="F617" s="8"/>
      <c r="G617" s="132"/>
      <c r="H617" s="8"/>
      <c r="I617" s="8"/>
      <c r="J617" s="8"/>
      <c r="K617" s="8"/>
      <c r="L617" s="8"/>
      <c r="M617" s="8"/>
      <c r="N617" s="49"/>
      <c r="O617" s="1014"/>
      <c r="P617" s="8"/>
      <c r="Q617" s="8"/>
      <c r="R617" s="685"/>
      <c r="S617" s="132"/>
      <c r="T617" s="132"/>
      <c r="U617" s="818"/>
      <c r="V617" s="86"/>
      <c r="W617" s="8"/>
      <c r="X617" s="8"/>
      <c r="Y617" s="8"/>
      <c r="Z617" s="8"/>
    </row>
    <row r="618" spans="1:26" s="407" customFormat="1" ht="12" customHeight="1" thickBot="1">
      <c r="A618" s="8"/>
      <c r="B618" s="8"/>
      <c r="C618" s="31"/>
      <c r="D618" s="654"/>
      <c r="E618" s="13"/>
      <c r="F618" s="8"/>
      <c r="G618" s="132"/>
      <c r="H618" s="8"/>
      <c r="I618" s="8"/>
      <c r="J618" s="8"/>
      <c r="K618" s="8"/>
      <c r="L618" s="8"/>
      <c r="M618" s="8"/>
      <c r="N618" s="49"/>
      <c r="O618" s="1014"/>
      <c r="P618" s="8"/>
      <c r="Q618" s="8"/>
      <c r="R618" s="685"/>
      <c r="S618" s="132"/>
      <c r="T618" s="132"/>
      <c r="U618" s="810"/>
      <c r="V618" s="86"/>
      <c r="W618" s="8"/>
      <c r="X618" s="8"/>
      <c r="Y618" s="8"/>
      <c r="Z618" s="8"/>
    </row>
    <row r="619" spans="1:26" s="407" customFormat="1" ht="12" customHeight="1" thickBot="1">
      <c r="A619" s="1244"/>
      <c r="B619" s="782"/>
      <c r="C619" s="31"/>
      <c r="D619" s="654"/>
      <c r="E619" s="13"/>
      <c r="F619" s="8"/>
      <c r="G619" s="132"/>
      <c r="H619" s="8"/>
      <c r="I619" s="8"/>
      <c r="J619" s="8"/>
      <c r="K619" s="8"/>
      <c r="L619" s="8"/>
      <c r="M619" s="8"/>
      <c r="N619" s="49"/>
      <c r="O619" s="1014"/>
      <c r="P619" s="8"/>
      <c r="Q619" s="8"/>
      <c r="R619" s="685"/>
      <c r="S619" s="132"/>
      <c r="T619" s="132"/>
      <c r="U619" s="810"/>
      <c r="V619" s="86"/>
      <c r="W619" s="8"/>
      <c r="X619" s="8"/>
      <c r="Y619" s="8"/>
      <c r="Z619" s="8"/>
    </row>
    <row r="620" spans="1:26" s="407" customFormat="1" ht="12" customHeight="1" thickBot="1">
      <c r="A620" s="1253"/>
      <c r="B620" s="1281"/>
      <c r="C620" s="31"/>
      <c r="D620" s="654"/>
      <c r="E620" s="13"/>
      <c r="F620" s="8"/>
      <c r="G620" s="132"/>
      <c r="H620" s="8"/>
      <c r="I620" s="8"/>
      <c r="J620" s="8"/>
      <c r="K620" s="8"/>
      <c r="L620" s="8"/>
      <c r="M620" s="8"/>
      <c r="N620" s="49"/>
      <c r="O620" s="1014"/>
      <c r="P620" s="8"/>
      <c r="Q620" s="8"/>
      <c r="R620" s="685"/>
      <c r="S620" s="132"/>
      <c r="T620" s="132"/>
      <c r="U620" s="810"/>
      <c r="V620" s="86"/>
      <c r="W620" s="8"/>
      <c r="X620" s="8"/>
      <c r="Y620" s="8"/>
      <c r="Z620" s="8"/>
    </row>
    <row r="621" spans="1:26" s="407" customFormat="1" ht="12" customHeight="1" thickBot="1">
      <c r="A621" s="510"/>
      <c r="B621" s="784"/>
      <c r="C621" s="29"/>
      <c r="D621" s="788"/>
      <c r="E621" s="541"/>
      <c r="F621" s="7"/>
      <c r="G621" s="133"/>
      <c r="H621" s="7"/>
      <c r="I621" s="7"/>
      <c r="J621" s="7"/>
      <c r="K621" s="7"/>
      <c r="L621" s="7"/>
      <c r="M621" s="7"/>
      <c r="N621" s="7"/>
      <c r="O621" s="1012"/>
      <c r="P621" s="7"/>
      <c r="Q621" s="8"/>
      <c r="R621" s="685"/>
      <c r="S621" s="133"/>
      <c r="T621" s="133"/>
      <c r="U621" s="1361"/>
      <c r="V621" s="86"/>
      <c r="W621" s="8"/>
      <c r="X621" s="8"/>
      <c r="Y621" s="8"/>
      <c r="Z621" s="8"/>
    </row>
    <row r="622" spans="1:26" ht="12" customHeight="1" thickBot="1">
      <c r="A622" s="768"/>
      <c r="B622" s="800"/>
      <c r="C622" s="29"/>
      <c r="D622" s="788"/>
      <c r="E622" s="541"/>
      <c r="F622" s="7"/>
      <c r="G622" s="133"/>
      <c r="H622" s="7"/>
      <c r="I622" s="7"/>
      <c r="J622" s="7"/>
      <c r="K622" s="7"/>
      <c r="L622" s="7"/>
      <c r="M622" s="7"/>
      <c r="N622" s="7"/>
      <c r="O622" s="1012"/>
      <c r="P622" s="7"/>
      <c r="S622" s="133"/>
      <c r="T622" s="133"/>
      <c r="U622" s="1361"/>
    </row>
    <row r="623" spans="1:26" ht="12" customHeight="1">
      <c r="A623" s="510"/>
      <c r="B623" s="7"/>
      <c r="C623" s="29"/>
      <c r="D623" s="1266" t="s">
        <v>576</v>
      </c>
      <c r="F623" s="7"/>
      <c r="G623" s="133"/>
      <c r="H623" s="7"/>
      <c r="I623" s="7"/>
      <c r="J623" s="7"/>
      <c r="L623" s="7"/>
      <c r="M623" s="7"/>
      <c r="N623" s="7"/>
      <c r="O623" s="1012"/>
      <c r="P623" s="7"/>
      <c r="S623" s="133">
        <v>1190</v>
      </c>
      <c r="T623" s="133">
        <f>S623/4</f>
        <v>297.5</v>
      </c>
      <c r="U623" s="854">
        <f>S623-T623</f>
        <v>892.5</v>
      </c>
      <c r="V623" s="86">
        <f>1190/4*3</f>
        <v>892.5</v>
      </c>
    </row>
    <row r="624" spans="1:26" ht="12" customHeight="1">
      <c r="A624" s="10"/>
      <c r="C624" s="8"/>
      <c r="D624" s="8"/>
      <c r="U624" s="13"/>
    </row>
    <row r="625" spans="1:26" ht="12" customHeight="1">
      <c r="A625" s="1267"/>
      <c r="B625" s="856"/>
      <c r="C625" s="856"/>
      <c r="D625" s="856"/>
      <c r="E625" s="856"/>
      <c r="F625" s="856"/>
      <c r="G625" s="857"/>
      <c r="H625" s="856"/>
      <c r="I625" s="856"/>
      <c r="J625" s="856"/>
      <c r="K625" s="856"/>
      <c r="L625" s="856"/>
      <c r="M625" s="856"/>
      <c r="N625" s="856"/>
      <c r="O625" s="1032"/>
      <c r="P625" s="856"/>
      <c r="Q625" s="856"/>
      <c r="R625" s="890"/>
      <c r="S625" s="857"/>
      <c r="T625" s="857"/>
      <c r="U625" s="1285"/>
      <c r="V625" s="1602"/>
      <c r="W625" s="856"/>
      <c r="X625" s="856"/>
      <c r="Y625" s="856"/>
      <c r="Z625" s="856"/>
    </row>
    <row r="626" spans="1:26" ht="12" customHeight="1">
      <c r="A626" s="1267"/>
      <c r="B626" s="856"/>
      <c r="C626" s="856"/>
      <c r="D626" s="856"/>
      <c r="E626" s="856"/>
      <c r="F626" s="856"/>
      <c r="G626" s="857"/>
      <c r="H626" s="856"/>
      <c r="I626" s="856"/>
      <c r="J626" s="856"/>
      <c r="K626" s="856"/>
      <c r="L626" s="856"/>
      <c r="M626" s="856"/>
      <c r="N626" s="856"/>
      <c r="O626" s="1032"/>
      <c r="P626" s="856"/>
      <c r="Q626" s="856"/>
      <c r="R626" s="890"/>
      <c r="S626" s="857"/>
      <c r="T626" s="857"/>
      <c r="U626" s="1285"/>
      <c r="V626" s="1602"/>
      <c r="W626" s="856"/>
      <c r="X626" s="856"/>
      <c r="Y626" s="856"/>
      <c r="Z626" s="856"/>
    </row>
    <row r="627" spans="1:26" ht="12" customHeight="1">
      <c r="A627" s="1267"/>
      <c r="B627" s="856"/>
      <c r="C627" s="856"/>
      <c r="D627" s="856"/>
      <c r="E627" s="856"/>
      <c r="F627" s="856"/>
      <c r="G627" s="857"/>
      <c r="H627" s="856"/>
      <c r="I627" s="856"/>
      <c r="J627" s="856"/>
      <c r="K627" s="856"/>
      <c r="L627" s="856"/>
      <c r="M627" s="856"/>
      <c r="N627" s="856"/>
      <c r="O627" s="1032"/>
      <c r="P627" s="856"/>
      <c r="Q627" s="856"/>
      <c r="R627" s="890"/>
      <c r="S627" s="857"/>
      <c r="T627" s="857"/>
      <c r="U627" s="1285"/>
      <c r="V627" s="1602"/>
      <c r="W627" s="856"/>
      <c r="X627" s="856"/>
      <c r="Y627" s="856"/>
      <c r="Z627" s="856"/>
    </row>
    <row r="628" spans="1:26" ht="12" customHeight="1">
      <c r="A628" s="624"/>
      <c r="B628" s="856"/>
      <c r="C628" s="856"/>
      <c r="D628" s="856"/>
      <c r="E628" s="856"/>
      <c r="F628" s="856"/>
      <c r="G628" s="857"/>
      <c r="H628" s="856"/>
      <c r="I628" s="856"/>
      <c r="J628" s="856"/>
      <c r="K628" s="856"/>
      <c r="L628" s="856"/>
      <c r="M628" s="856"/>
      <c r="N628" s="856"/>
      <c r="O628" s="1032"/>
      <c r="P628" s="856"/>
      <c r="Q628" s="856"/>
      <c r="R628" s="890"/>
      <c r="S628" s="857"/>
      <c r="T628" s="857"/>
      <c r="U628" s="1285"/>
      <c r="V628" s="1602"/>
      <c r="W628" s="856"/>
      <c r="X628" s="856"/>
      <c r="Y628" s="856"/>
      <c r="Z628" s="856"/>
    </row>
    <row r="629" spans="1:26" s="1418" customFormat="1">
      <c r="A629" s="8"/>
      <c r="B629" s="8"/>
      <c r="C629" s="31"/>
      <c r="D629" s="31"/>
      <c r="E629" s="8"/>
      <c r="F629" s="8"/>
      <c r="G629" s="132"/>
      <c r="H629" s="8"/>
      <c r="I629" s="8"/>
      <c r="J629" s="8"/>
      <c r="K629" s="15"/>
      <c r="L629" s="15"/>
      <c r="M629" s="8"/>
      <c r="N629" s="49"/>
      <c r="O629" s="1014"/>
      <c r="P629" s="8"/>
      <c r="Q629" s="8"/>
      <c r="R629" s="685"/>
      <c r="S629" s="132"/>
      <c r="T629" s="132"/>
      <c r="U629" s="126"/>
      <c r="V629" s="86"/>
      <c r="W629" s="8"/>
      <c r="X629" s="8"/>
      <c r="Y629" s="8"/>
      <c r="Z629" s="8"/>
    </row>
    <row r="630" spans="1:26" s="115" customFormat="1">
      <c r="A630" s="8"/>
      <c r="B630" s="8"/>
      <c r="C630" s="31"/>
      <c r="D630" s="31"/>
      <c r="E630" s="8"/>
      <c r="F630" s="8"/>
      <c r="G630" s="132"/>
      <c r="H630" s="404"/>
      <c r="I630" s="8"/>
      <c r="J630" s="8"/>
      <c r="K630" s="15"/>
      <c r="L630" s="15"/>
      <c r="M630" s="8"/>
      <c r="N630" s="49"/>
      <c r="O630" s="1014"/>
      <c r="P630" s="8"/>
      <c r="Q630" s="8">
        <f>O615-U615</f>
        <v>0</v>
      </c>
      <c r="R630" s="685"/>
      <c r="S630" s="132"/>
      <c r="T630" s="132"/>
      <c r="U630" s="126"/>
      <c r="V630" s="86"/>
      <c r="W630" s="8"/>
      <c r="X630" s="8"/>
      <c r="Y630" s="8"/>
      <c r="Z630" s="8"/>
    </row>
    <row r="631" spans="1:26" s="115" customFormat="1">
      <c r="A631" s="8"/>
      <c r="B631" s="8"/>
      <c r="C631" s="31"/>
      <c r="D631" s="31"/>
      <c r="E631" s="8"/>
      <c r="F631" s="8"/>
      <c r="G631" s="132"/>
      <c r="H631" s="404"/>
      <c r="I631" s="8"/>
      <c r="J631" s="8"/>
      <c r="K631" s="15"/>
      <c r="L631" s="15"/>
      <c r="M631" s="8"/>
      <c r="N631" s="49"/>
      <c r="O631" s="1014"/>
      <c r="P631" s="8"/>
      <c r="Q631" s="8"/>
      <c r="R631" s="685"/>
      <c r="S631" s="132"/>
      <c r="T631" s="132"/>
      <c r="U631" s="126"/>
      <c r="V631" s="86"/>
      <c r="W631" s="8"/>
      <c r="X631" s="8"/>
      <c r="Y631" s="8"/>
      <c r="Z631" s="8"/>
    </row>
    <row r="632" spans="1:26" s="115" customFormat="1" ht="12" customHeight="1">
      <c r="A632" s="8"/>
      <c r="B632" s="8"/>
      <c r="C632" s="31"/>
      <c r="D632" s="31"/>
      <c r="E632" s="8"/>
      <c r="F632" s="8"/>
      <c r="G632" s="132"/>
      <c r="H632" s="404"/>
      <c r="I632" s="8"/>
      <c r="J632" s="8"/>
      <c r="K632" s="15"/>
      <c r="L632" s="15"/>
      <c r="M632" s="8"/>
      <c r="N632" s="49"/>
      <c r="O632" s="1014"/>
      <c r="P632" s="8"/>
      <c r="Q632" s="8"/>
      <c r="R632" s="685"/>
      <c r="S632" s="132"/>
      <c r="T632" s="132"/>
      <c r="U632" s="126"/>
      <c r="V632" s="86"/>
      <c r="W632" s="8"/>
      <c r="X632" s="8"/>
      <c r="Y632" s="8"/>
      <c r="Z632" s="8"/>
    </row>
    <row r="633" spans="1:26" s="820" customFormat="1" ht="12" customHeight="1">
      <c r="A633" s="8"/>
      <c r="B633" s="8"/>
      <c r="C633" s="8"/>
      <c r="D633" s="8"/>
      <c r="E633" s="8"/>
      <c r="F633" s="8"/>
      <c r="G633" s="132"/>
      <c r="H633" s="404"/>
      <c r="I633" s="8"/>
      <c r="J633" s="8"/>
      <c r="K633" s="8"/>
      <c r="L633" s="8"/>
      <c r="M633" s="8"/>
      <c r="N633" s="8"/>
      <c r="O633" s="1015"/>
      <c r="P633" s="8"/>
      <c r="Q633" s="8"/>
      <c r="R633" s="685"/>
      <c r="S633" s="132"/>
      <c r="T633" s="132"/>
      <c r="U633" s="8"/>
      <c r="V633" s="86">
        <f>U615/2</f>
        <v>0</v>
      </c>
      <c r="W633" s="8"/>
      <c r="X633" s="8"/>
      <c r="Y633" s="8"/>
      <c r="Z633" s="8"/>
    </row>
    <row r="634" spans="1:26" s="355" customFormat="1" ht="12" customHeight="1">
      <c r="A634" s="7"/>
      <c r="B634" s="7"/>
      <c r="C634" s="29"/>
      <c r="D634" s="1266" t="s">
        <v>576</v>
      </c>
      <c r="E634" s="8"/>
      <c r="F634" s="7"/>
      <c r="G634" s="133"/>
      <c r="H634" s="404"/>
      <c r="I634" s="7"/>
      <c r="J634" s="7"/>
      <c r="K634" s="8"/>
      <c r="L634" s="7"/>
      <c r="M634" s="7"/>
      <c r="N634" s="7"/>
      <c r="O634" s="1012">
        <f>O624-U624+3*14</f>
        <v>42</v>
      </c>
      <c r="P634" s="7"/>
      <c r="Q634" s="8"/>
      <c r="R634" s="685"/>
      <c r="S634" s="133"/>
      <c r="T634" s="133"/>
      <c r="U634" s="7"/>
      <c r="V634" s="86"/>
      <c r="W634" s="8"/>
      <c r="X634" s="8"/>
      <c r="Y634" s="8"/>
      <c r="Z634" s="8"/>
    </row>
    <row r="635" spans="1:26" s="1069" customFormat="1" ht="12" customHeight="1">
      <c r="A635" s="10"/>
      <c r="B635" s="8"/>
      <c r="C635" s="31"/>
      <c r="D635" s="31"/>
      <c r="E635" s="8"/>
      <c r="F635" s="8"/>
      <c r="G635" s="132"/>
      <c r="H635" s="8"/>
      <c r="I635" s="8"/>
      <c r="J635" s="8"/>
      <c r="K635" s="8"/>
      <c r="L635" s="8"/>
      <c r="M635" s="8"/>
      <c r="N635" s="8"/>
      <c r="O635" s="1015"/>
      <c r="P635" s="8"/>
      <c r="Q635" s="8"/>
      <c r="R635" s="685"/>
      <c r="S635" s="132"/>
      <c r="T635" s="132"/>
      <c r="U635" s="13"/>
      <c r="V635" s="86"/>
      <c r="W635" s="8"/>
      <c r="X635" s="8"/>
      <c r="Y635" s="8"/>
      <c r="Z635" s="8"/>
    </row>
    <row r="636" spans="1:26" s="923" customFormat="1" ht="12" customHeight="1">
      <c r="A636" s="10"/>
      <c r="B636" s="8"/>
      <c r="C636" s="34"/>
      <c r="D636" s="34"/>
      <c r="E636" s="8"/>
      <c r="F636" s="8"/>
      <c r="G636" s="132"/>
      <c r="H636" s="8"/>
      <c r="I636" s="8"/>
      <c r="J636" s="8"/>
      <c r="K636" s="15"/>
      <c r="L636" s="8"/>
      <c r="M636" s="8"/>
      <c r="N636" s="49"/>
      <c r="O636" s="1035"/>
      <c r="P636" s="8"/>
      <c r="Q636" s="8"/>
      <c r="R636" s="685"/>
      <c r="S636" s="132"/>
      <c r="T636" s="132"/>
      <c r="U636" s="13"/>
      <c r="V636" s="86"/>
      <c r="W636" s="8"/>
      <c r="X636" s="8"/>
      <c r="Y636" s="8"/>
      <c r="Z636" s="8"/>
    </row>
    <row r="637" spans="1:26" s="1431" customFormat="1" ht="12" customHeight="1">
      <c r="A637" s="10"/>
      <c r="B637" s="8"/>
      <c r="C637" s="34"/>
      <c r="D637" s="34"/>
      <c r="E637" s="8"/>
      <c r="F637" s="8"/>
      <c r="G637" s="132"/>
      <c r="H637" s="8"/>
      <c r="I637" s="8"/>
      <c r="J637" s="8"/>
      <c r="K637" s="15"/>
      <c r="L637" s="8"/>
      <c r="M637" s="8"/>
      <c r="N637" s="49"/>
      <c r="O637" s="1035"/>
      <c r="P637" s="8"/>
      <c r="Q637" s="8"/>
      <c r="R637" s="685"/>
      <c r="S637" s="132"/>
      <c r="T637" s="132"/>
      <c r="U637" s="13"/>
      <c r="V637" s="86"/>
      <c r="W637" s="8"/>
      <c r="X637" s="8"/>
      <c r="Y637" s="8"/>
      <c r="Z637" s="8"/>
    </row>
    <row r="638" spans="1:26" s="1470" customFormat="1" ht="12" customHeight="1">
      <c r="A638" s="10"/>
      <c r="B638" s="8"/>
      <c r="C638" s="8"/>
      <c r="D638" s="8"/>
      <c r="E638" s="8"/>
      <c r="F638" s="8"/>
      <c r="G638" s="132"/>
      <c r="H638" s="404"/>
      <c r="I638" s="8"/>
      <c r="J638" s="8"/>
      <c r="K638" s="8"/>
      <c r="L638" s="8"/>
      <c r="M638" s="8"/>
      <c r="N638" s="8"/>
      <c r="O638" s="1015"/>
      <c r="P638" s="8"/>
      <c r="Q638" s="8"/>
      <c r="R638" s="685"/>
      <c r="S638" s="132"/>
      <c r="T638" s="132"/>
      <c r="U638" s="13"/>
      <c r="V638" s="86"/>
      <c r="W638" s="8"/>
      <c r="X638" s="8"/>
      <c r="Y638" s="8"/>
      <c r="Z638" s="8"/>
    </row>
    <row r="639" spans="1:26" s="923" customFormat="1" ht="12" customHeight="1">
      <c r="A639" s="510"/>
      <c r="B639" s="7"/>
      <c r="C639" s="29"/>
      <c r="D639" s="1266" t="s">
        <v>576</v>
      </c>
      <c r="E639" s="8"/>
      <c r="F639" s="7"/>
      <c r="G639" s="133"/>
      <c r="H639" s="404"/>
      <c r="I639" s="7"/>
      <c r="J639" s="7"/>
      <c r="K639" s="404"/>
      <c r="L639" s="495"/>
      <c r="M639" s="7"/>
      <c r="N639" s="8"/>
      <c r="O639" s="1012"/>
      <c r="P639" s="7"/>
      <c r="Q639" s="8"/>
      <c r="R639" s="685"/>
      <c r="S639" s="133"/>
      <c r="T639" s="133"/>
      <c r="U639" s="784"/>
      <c r="V639" s="86"/>
      <c r="W639" s="8"/>
      <c r="X639" s="8"/>
      <c r="Y639" s="8"/>
      <c r="Z639" s="8"/>
    </row>
    <row r="640" spans="1:26" s="1090" customFormat="1" ht="12" customHeight="1">
      <c r="A640" s="10"/>
      <c r="B640" s="8"/>
      <c r="C640" s="31"/>
      <c r="D640" s="31"/>
      <c r="E640" s="8"/>
      <c r="F640" s="8"/>
      <c r="G640" s="132"/>
      <c r="H640" s="8"/>
      <c r="I640" s="8"/>
      <c r="J640" s="8"/>
      <c r="K640" s="404"/>
      <c r="L640" s="404"/>
      <c r="M640" s="8"/>
      <c r="N640" s="8"/>
      <c r="O640" s="1015"/>
      <c r="P640" s="8"/>
      <c r="Q640" s="8"/>
      <c r="R640" s="685"/>
      <c r="S640" s="132"/>
      <c r="T640" s="132"/>
      <c r="U640" s="13"/>
      <c r="V640" s="86"/>
      <c r="W640" s="8"/>
      <c r="X640" s="8"/>
      <c r="Y640" s="8"/>
      <c r="Z640" s="8"/>
    </row>
    <row r="641" spans="1:26" s="1470" customFormat="1" ht="12" customHeight="1">
      <c r="A641" s="10"/>
      <c r="B641" s="8"/>
      <c r="C641" s="34"/>
      <c r="D641" s="34"/>
      <c r="E641" s="8"/>
      <c r="F641" s="8"/>
      <c r="G641" s="132"/>
      <c r="H641" s="8"/>
      <c r="I641" s="8"/>
      <c r="J641" s="8"/>
      <c r="K641" s="404"/>
      <c r="L641" s="404"/>
      <c r="M641" s="8"/>
      <c r="N641" s="49"/>
      <c r="O641" s="1035"/>
      <c r="P641" s="8"/>
      <c r="Q641" s="8"/>
      <c r="R641" s="685"/>
      <c r="S641" s="132"/>
      <c r="T641" s="132"/>
      <c r="U641" s="13"/>
      <c r="V641" s="86"/>
      <c r="W641" s="8"/>
      <c r="X641" s="8"/>
      <c r="Y641" s="8"/>
      <c r="Z641" s="8"/>
    </row>
    <row r="642" spans="1:26" s="820" customFormat="1" ht="12" customHeight="1">
      <c r="A642" s="10"/>
      <c r="B642" s="8"/>
      <c r="C642" s="34"/>
      <c r="D642" s="34"/>
      <c r="E642" s="8"/>
      <c r="F642" s="8"/>
      <c r="G642" s="132"/>
      <c r="H642" s="8"/>
      <c r="I642" s="8"/>
      <c r="J642" s="8"/>
      <c r="K642" s="404"/>
      <c r="L642" s="404"/>
      <c r="M642" s="8"/>
      <c r="N642" s="462"/>
      <c r="O642" s="1035"/>
      <c r="P642" s="8"/>
      <c r="Q642" s="8"/>
      <c r="R642" s="685"/>
      <c r="S642" s="132"/>
      <c r="T642" s="132"/>
      <c r="U642" s="13"/>
      <c r="V642" s="86"/>
      <c r="W642" s="8"/>
      <c r="X642" s="8"/>
      <c r="Y642" s="8"/>
      <c r="Z642" s="8"/>
    </row>
    <row r="643" spans="1:26" s="355" customFormat="1" ht="12" customHeight="1">
      <c r="A643" s="10"/>
      <c r="B643" s="8"/>
      <c r="C643" s="31"/>
      <c r="D643" s="31"/>
      <c r="E643" s="8"/>
      <c r="F643" s="8"/>
      <c r="G643" s="132"/>
      <c r="H643" s="8"/>
      <c r="I643" s="8"/>
      <c r="J643" s="8"/>
      <c r="K643" s="8"/>
      <c r="L643" s="8"/>
      <c r="M643" s="8"/>
      <c r="N643" s="49"/>
      <c r="O643" s="1014"/>
      <c r="P643" s="8"/>
      <c r="Q643" s="8"/>
      <c r="R643" s="685"/>
      <c r="S643" s="132"/>
      <c r="T643" s="132"/>
      <c r="U643" s="85"/>
      <c r="V643" s="86"/>
      <c r="W643" s="8"/>
      <c r="X643" s="8"/>
      <c r="Y643" s="8"/>
      <c r="Z643" s="8"/>
    </row>
    <row r="644" spans="1:26" s="820" customFormat="1" ht="12" customHeight="1">
      <c r="A644" s="8"/>
      <c r="B644" s="8"/>
      <c r="C644" s="31"/>
      <c r="D644" s="31"/>
      <c r="E644" s="8"/>
      <c r="F644" s="8"/>
      <c r="G644" s="132"/>
      <c r="H644" s="8"/>
      <c r="I644" s="8"/>
      <c r="J644" s="8"/>
      <c r="K644" s="8"/>
      <c r="L644" s="8"/>
      <c r="M644" s="8"/>
      <c r="N644" s="49"/>
      <c r="O644" s="1014"/>
      <c r="P644" s="8"/>
      <c r="Q644" s="8"/>
      <c r="R644" s="685"/>
      <c r="S644" s="132"/>
      <c r="T644" s="132"/>
      <c r="U644" s="603"/>
      <c r="V644" s="86"/>
      <c r="W644" s="8"/>
      <c r="X644" s="8"/>
      <c r="Y644" s="8"/>
      <c r="Z644" s="8"/>
    </row>
    <row r="645" spans="1:26" s="820" customFormat="1" ht="12" customHeight="1">
      <c r="A645" s="8"/>
      <c r="B645" s="8"/>
      <c r="C645" s="31"/>
      <c r="D645" s="31"/>
      <c r="E645" s="8"/>
      <c r="F645" s="8"/>
      <c r="G645" s="132"/>
      <c r="H645" s="8"/>
      <c r="I645" s="8"/>
      <c r="J645" s="8"/>
      <c r="K645" s="8"/>
      <c r="L645" s="8"/>
      <c r="M645" s="8"/>
      <c r="N645" s="49"/>
      <c r="O645" s="1014"/>
      <c r="P645" s="8"/>
      <c r="Q645" s="8"/>
      <c r="R645" s="685"/>
      <c r="S645" s="132"/>
      <c r="T645" s="132"/>
      <c r="U645" s="603"/>
      <c r="V645" s="86"/>
      <c r="W645" s="8"/>
      <c r="X645" s="8"/>
      <c r="Y645" s="8"/>
      <c r="Z645" s="8"/>
    </row>
    <row r="646" spans="1:26" s="820" customFormat="1" ht="12" customHeight="1">
      <c r="A646" s="8"/>
      <c r="B646" s="8"/>
      <c r="C646" s="31"/>
      <c r="D646" s="31"/>
      <c r="E646" s="8"/>
      <c r="F646" s="8"/>
      <c r="G646" s="132"/>
      <c r="H646" s="404"/>
      <c r="I646" s="457"/>
      <c r="J646" s="457"/>
      <c r="K646" s="457"/>
      <c r="L646" s="457"/>
      <c r="M646" s="457"/>
      <c r="N646" s="462"/>
      <c r="O646" s="1014"/>
      <c r="P646" s="8"/>
      <c r="Q646" s="8"/>
      <c r="R646" s="685"/>
      <c r="S646" s="132"/>
      <c r="T646" s="132"/>
      <c r="U646" s="603"/>
      <c r="V646" s="86"/>
      <c r="W646" s="8"/>
      <c r="X646" s="8"/>
      <c r="Y646" s="8"/>
      <c r="Z646" s="8"/>
    </row>
    <row r="647" spans="1:26" s="820" customFormat="1" ht="12" customHeight="1">
      <c r="A647" s="8"/>
      <c r="B647" s="8"/>
      <c r="C647" s="31"/>
      <c r="D647" s="31"/>
      <c r="E647" s="8"/>
      <c r="F647" s="8"/>
      <c r="G647" s="132"/>
      <c r="H647" s="7"/>
      <c r="I647" s="457"/>
      <c r="J647" s="457"/>
      <c r="K647" s="457"/>
      <c r="L647" s="457"/>
      <c r="M647" s="457"/>
      <c r="N647" s="869"/>
      <c r="O647" s="1014"/>
      <c r="P647" s="8"/>
      <c r="Q647" s="8"/>
      <c r="R647" s="685"/>
      <c r="S647" s="132"/>
      <c r="T647" s="132"/>
      <c r="U647" s="126"/>
      <c r="V647" s="86"/>
      <c r="W647" s="8"/>
      <c r="X647" s="8"/>
      <c r="Y647" s="8"/>
      <c r="Z647" s="8"/>
    </row>
    <row r="648" spans="1:26" s="820" customFormat="1" ht="12" customHeight="1">
      <c r="A648" s="10"/>
      <c r="B648" s="8"/>
      <c r="C648" s="31"/>
      <c r="D648" s="31"/>
      <c r="E648" s="8"/>
      <c r="F648" s="8"/>
      <c r="G648" s="132"/>
      <c r="H648" s="7"/>
      <c r="I648" s="457"/>
      <c r="J648" s="457"/>
      <c r="K648" s="457"/>
      <c r="L648" s="457"/>
      <c r="M648" s="457"/>
      <c r="N648" s="462"/>
      <c r="O648" s="1014"/>
      <c r="P648" s="8"/>
      <c r="Q648" s="8"/>
      <c r="R648" s="685"/>
      <c r="S648" s="132"/>
      <c r="T648" s="132"/>
      <c r="U648" s="85"/>
      <c r="V648" s="86"/>
      <c r="W648" s="8"/>
      <c r="X648" s="8"/>
      <c r="Y648" s="8"/>
      <c r="Z648" s="8"/>
    </row>
    <row r="649" spans="1:26" s="820" customFormat="1" ht="12" customHeight="1">
      <c r="A649" s="8"/>
      <c r="B649" s="8"/>
      <c r="C649" s="31"/>
      <c r="D649" s="31"/>
      <c r="E649" s="8"/>
      <c r="F649" s="8"/>
      <c r="G649" s="132"/>
      <c r="H649" s="8"/>
      <c r="I649" s="457"/>
      <c r="J649" s="457"/>
      <c r="K649" s="457"/>
      <c r="L649" s="457"/>
      <c r="M649" s="457"/>
      <c r="N649" s="462"/>
      <c r="O649" s="1014"/>
      <c r="P649" s="8"/>
      <c r="Q649" s="8"/>
      <c r="R649" s="685"/>
      <c r="S649" s="132"/>
      <c r="T649" s="132"/>
      <c r="U649" s="603"/>
      <c r="V649" s="86"/>
      <c r="W649" s="8"/>
      <c r="X649" s="8"/>
      <c r="Y649" s="8"/>
      <c r="Z649" s="8"/>
    </row>
    <row r="650" spans="1:26" s="820" customFormat="1" ht="12" customHeight="1">
      <c r="A650" s="8"/>
      <c r="B650" s="8"/>
      <c r="C650" s="8"/>
      <c r="D650" s="8"/>
      <c r="E650" s="8"/>
      <c r="F650" s="8"/>
      <c r="G650" s="132"/>
      <c r="H650" s="404"/>
      <c r="I650" s="457"/>
      <c r="J650" s="457"/>
      <c r="K650" s="457"/>
      <c r="L650" s="457"/>
      <c r="M650" s="457"/>
      <c r="N650" s="457"/>
      <c r="O650" s="1015"/>
      <c r="P650" s="8"/>
      <c r="Q650" s="8"/>
      <c r="R650" s="685"/>
      <c r="S650" s="132"/>
      <c r="T650" s="132"/>
      <c r="U650" s="8"/>
      <c r="V650" s="86"/>
      <c r="W650" s="8"/>
      <c r="X650" s="8"/>
      <c r="Y650" s="8"/>
      <c r="Z650" s="8"/>
    </row>
    <row r="651" spans="1:26" ht="12" customHeight="1">
      <c r="A651" s="7"/>
      <c r="B651" s="7"/>
      <c r="C651" s="29"/>
      <c r="D651" s="1266" t="s">
        <v>576</v>
      </c>
      <c r="F651" s="7"/>
      <c r="G651" s="133"/>
      <c r="H651" s="404"/>
      <c r="I651" s="870"/>
      <c r="J651" s="870"/>
      <c r="K651" s="872"/>
      <c r="L651" s="873"/>
      <c r="M651" s="870"/>
      <c r="N651" s="457"/>
      <c r="O651" s="1012"/>
      <c r="P651" s="7"/>
      <c r="S651" s="133"/>
      <c r="T651" s="133"/>
      <c r="U651" s="7"/>
    </row>
    <row r="652" spans="1:26" s="407" customFormat="1" ht="12" customHeight="1" thickBot="1">
      <c r="A652" s="8"/>
      <c r="B652" s="8"/>
      <c r="C652" s="34"/>
      <c r="D652" s="34"/>
      <c r="E652" s="8"/>
      <c r="F652" s="8"/>
      <c r="G652" s="132"/>
      <c r="H652" s="8"/>
      <c r="I652" s="8"/>
      <c r="J652" s="8"/>
      <c r="K652" s="15"/>
      <c r="L652" s="8"/>
      <c r="M652" s="8"/>
      <c r="N652" s="49"/>
      <c r="O652" s="1035"/>
      <c r="P652" s="8"/>
      <c r="Q652" s="8"/>
      <c r="R652" s="685"/>
      <c r="S652" s="132"/>
      <c r="T652" s="132"/>
      <c r="U652" s="13"/>
      <c r="V652" s="86"/>
      <c r="W652" s="8"/>
      <c r="X652" s="8"/>
      <c r="Y652" s="8"/>
      <c r="Z652" s="8"/>
    </row>
    <row r="653" spans="1:26" s="407" customFormat="1" ht="12" customHeight="1" thickBot="1">
      <c r="A653" s="1244"/>
      <c r="B653" s="782"/>
      <c r="C653" s="34"/>
      <c r="D653" s="1690"/>
      <c r="E653" s="782"/>
      <c r="F653" s="8"/>
      <c r="G653" s="132"/>
      <c r="H653" s="8"/>
      <c r="I653" s="8"/>
      <c r="J653" s="8"/>
      <c r="K653" s="15"/>
      <c r="L653" s="8"/>
      <c r="M653" s="8"/>
      <c r="N653" s="49"/>
      <c r="O653" s="1035"/>
      <c r="P653" s="8"/>
      <c r="Q653" s="8"/>
      <c r="R653" s="685"/>
      <c r="S653" s="132"/>
      <c r="T653" s="132"/>
      <c r="U653" s="13"/>
      <c r="V653" s="86"/>
      <c r="W653" s="8"/>
      <c r="X653" s="8"/>
      <c r="Y653" s="8"/>
      <c r="Z653" s="8"/>
    </row>
    <row r="654" spans="1:26" s="407" customFormat="1" ht="12" customHeight="1" thickBot="1">
      <c r="A654" s="519"/>
      <c r="B654" s="541"/>
      <c r="C654" s="1672"/>
      <c r="D654" s="1308"/>
      <c r="E654" s="13"/>
      <c r="F654" s="8"/>
      <c r="G654" s="132"/>
      <c r="H654" s="8"/>
      <c r="I654" s="8"/>
      <c r="J654" s="8"/>
      <c r="K654" s="15"/>
      <c r="L654" s="8"/>
      <c r="M654" s="8"/>
      <c r="N654" s="49"/>
      <c r="O654" s="1035"/>
      <c r="P654" s="8"/>
      <c r="Q654" s="8"/>
      <c r="R654" s="685"/>
      <c r="S654" s="132"/>
      <c r="T654" s="132"/>
      <c r="U654" s="13"/>
      <c r="V654" s="86"/>
      <c r="W654" s="8"/>
      <c r="X654" s="8"/>
      <c r="Y654" s="8"/>
      <c r="Z654" s="8"/>
    </row>
    <row r="655" spans="1:26" s="407" customFormat="1" ht="12" customHeight="1" thickBot="1">
      <c r="A655" s="8"/>
      <c r="B655" s="8"/>
      <c r="C655" s="34"/>
      <c r="D655" s="1308"/>
      <c r="E655" s="13"/>
      <c r="F655" s="8"/>
      <c r="G655" s="132"/>
      <c r="H655" s="8"/>
      <c r="I655" s="8"/>
      <c r="J655" s="8"/>
      <c r="K655" s="15"/>
      <c r="L655" s="8"/>
      <c r="M655" s="8"/>
      <c r="N655" s="49"/>
      <c r="O655" s="1035"/>
      <c r="P655" s="8"/>
      <c r="Q655" s="8"/>
      <c r="R655" s="685"/>
      <c r="S655" s="132"/>
      <c r="T655" s="132"/>
      <c r="U655" s="13"/>
      <c r="V655" s="86"/>
      <c r="W655" s="8"/>
      <c r="X655" s="8"/>
      <c r="Y655" s="8"/>
      <c r="Z655" s="8"/>
    </row>
    <row r="656" spans="1:26" s="407" customFormat="1" ht="12" customHeight="1" thickBot="1">
      <c r="A656" s="1244"/>
      <c r="B656" s="782"/>
      <c r="C656" s="34"/>
      <c r="D656" s="1308"/>
      <c r="E656" s="13"/>
      <c r="F656" s="8"/>
      <c r="G656" s="132"/>
      <c r="H656" s="8"/>
      <c r="I656" s="8"/>
      <c r="J656" s="8"/>
      <c r="K656" s="15"/>
      <c r="L656" s="8"/>
      <c r="M656" s="8"/>
      <c r="N656" s="49"/>
      <c r="O656" s="1035"/>
      <c r="P656" s="8"/>
      <c r="Q656" s="8"/>
      <c r="R656" s="685"/>
      <c r="S656" s="132"/>
      <c r="T656" s="132"/>
      <c r="U656" s="13"/>
      <c r="V656" s="86"/>
      <c r="W656" s="8"/>
      <c r="X656" s="8"/>
      <c r="Y656" s="8"/>
      <c r="Z656" s="8"/>
    </row>
    <row r="657" spans="1:26" s="407" customFormat="1" ht="12" customHeight="1" thickBot="1">
      <c r="A657" s="1253"/>
      <c r="B657" s="1281"/>
      <c r="C657" s="34"/>
      <c r="D657" s="1308"/>
      <c r="E657" s="13"/>
      <c r="F657" s="8"/>
      <c r="G657" s="132"/>
      <c r="H657" s="8"/>
      <c r="I657" s="8"/>
      <c r="J657" s="8"/>
      <c r="K657" s="15"/>
      <c r="L657" s="8"/>
      <c r="M657" s="8"/>
      <c r="N657" s="49"/>
      <c r="O657" s="1035"/>
      <c r="P657" s="8"/>
      <c r="Q657" s="8"/>
      <c r="R657" s="685"/>
      <c r="S657" s="132"/>
      <c r="T657" s="132"/>
      <c r="U657" s="13"/>
      <c r="V657" s="86"/>
      <c r="W657" s="8"/>
      <c r="X657" s="8"/>
      <c r="Y657" s="8"/>
      <c r="Z657" s="8"/>
    </row>
    <row r="658" spans="1:26" s="407" customFormat="1" ht="12" customHeight="1">
      <c r="A658" s="624"/>
      <c r="B658" s="1285"/>
      <c r="C658" s="856"/>
      <c r="D658" s="1267"/>
      <c r="E658" s="1285"/>
      <c r="F658" s="856"/>
      <c r="G658" s="857"/>
      <c r="H658" s="856"/>
      <c r="I658" s="856"/>
      <c r="J658" s="856"/>
      <c r="K658" s="856"/>
      <c r="L658" s="856"/>
      <c r="M658" s="856"/>
      <c r="N658" s="856"/>
      <c r="O658" s="1032"/>
      <c r="P658" s="856"/>
      <c r="Q658" s="856"/>
      <c r="R658" s="890"/>
      <c r="S658" s="857"/>
      <c r="T658" s="857"/>
      <c r="U658" s="1358"/>
      <c r="V658" s="1602"/>
      <c r="W658" s="856"/>
      <c r="X658" s="856"/>
      <c r="Y658" s="856"/>
      <c r="Z658" s="856"/>
    </row>
    <row r="659" spans="1:26" ht="12" customHeight="1" thickBot="1">
      <c r="A659" s="1262"/>
      <c r="B659" s="1289"/>
      <c r="C659" s="856"/>
      <c r="D659" s="1267"/>
      <c r="E659" s="1285"/>
      <c r="F659" s="856"/>
      <c r="G659" s="857"/>
      <c r="H659" s="856"/>
      <c r="I659" s="856"/>
      <c r="J659" s="856"/>
      <c r="K659" s="856"/>
      <c r="L659" s="856"/>
      <c r="M659" s="856"/>
      <c r="N659" s="856"/>
      <c r="O659" s="1032"/>
      <c r="P659" s="856"/>
      <c r="Q659" s="856"/>
      <c r="R659" s="890"/>
      <c r="S659" s="857"/>
      <c r="T659" s="857"/>
      <c r="U659" s="1358"/>
      <c r="V659" s="1602"/>
      <c r="W659" s="856"/>
      <c r="X659" s="856"/>
      <c r="Y659" s="856"/>
      <c r="Z659" s="856"/>
    </row>
    <row r="660" spans="1:26" ht="12" customHeight="1">
      <c r="A660" s="10"/>
      <c r="D660" s="654"/>
      <c r="E660" s="13"/>
      <c r="U660" s="13"/>
    </row>
    <row r="661" spans="1:26" ht="12" customHeight="1">
      <c r="A661" s="10"/>
      <c r="D661" s="654"/>
      <c r="E661" s="13"/>
      <c r="N661" s="49"/>
      <c r="O661" s="1014"/>
      <c r="U661" s="85"/>
    </row>
    <row r="662" spans="1:26" ht="12" customHeight="1">
      <c r="A662" s="10"/>
      <c r="D662" s="654"/>
      <c r="E662" s="13"/>
      <c r="H662" s="7"/>
      <c r="I662" s="457"/>
      <c r="J662" s="457"/>
      <c r="K662" s="457"/>
      <c r="L662" s="457"/>
      <c r="M662" s="457"/>
      <c r="N662" s="462"/>
      <c r="U662" s="85"/>
    </row>
    <row r="663" spans="1:26" ht="12" customHeight="1">
      <c r="A663" s="10"/>
      <c r="D663" s="654"/>
      <c r="E663" s="13"/>
      <c r="I663" s="457"/>
      <c r="J663" s="457"/>
      <c r="K663" s="457"/>
      <c r="L663" s="457"/>
      <c r="M663" s="457"/>
      <c r="N663" s="462"/>
      <c r="O663" s="1014"/>
      <c r="U663" s="85"/>
    </row>
    <row r="664" spans="1:26" ht="12" customHeight="1" thickBot="1">
      <c r="A664" s="10"/>
      <c r="C664" s="8"/>
      <c r="D664" s="519"/>
      <c r="E664" s="541"/>
      <c r="H664" s="404"/>
      <c r="I664" s="457"/>
      <c r="J664" s="457"/>
      <c r="K664" s="457"/>
      <c r="L664" s="457"/>
      <c r="M664" s="457"/>
      <c r="N664" s="457"/>
      <c r="U664" s="13"/>
    </row>
    <row r="665" spans="1:26" ht="12" customHeight="1">
      <c r="A665" s="510"/>
      <c r="B665" s="7"/>
      <c r="C665" s="29"/>
      <c r="D665" s="1266" t="s">
        <v>576</v>
      </c>
      <c r="F665" s="7"/>
      <c r="G665" s="133"/>
      <c r="H665" s="404"/>
      <c r="I665" s="870"/>
      <c r="J665" s="870"/>
      <c r="K665" s="872"/>
      <c r="L665" s="873"/>
      <c r="M665" s="870"/>
      <c r="N665" s="457"/>
      <c r="O665" s="1012"/>
      <c r="P665" s="7"/>
      <c r="S665" s="133"/>
      <c r="T665" s="133"/>
      <c r="U665" s="784"/>
    </row>
    <row r="666" spans="1:26" ht="12" customHeight="1">
      <c r="A666" s="10"/>
      <c r="C666" s="34"/>
      <c r="D666" s="34"/>
      <c r="K666" s="15"/>
      <c r="N666" s="49"/>
      <c r="O666" s="1035"/>
      <c r="U666" s="13"/>
    </row>
    <row r="667" spans="1:26" ht="12" customHeight="1">
      <c r="C667" s="34"/>
      <c r="D667" s="34"/>
      <c r="K667" s="15"/>
      <c r="N667" s="49"/>
      <c r="O667" s="1035"/>
    </row>
    <row r="668" spans="1:26" ht="12" customHeight="1">
      <c r="C668" s="34"/>
      <c r="D668" s="34"/>
      <c r="K668" s="15"/>
      <c r="N668" s="49"/>
      <c r="O668" s="1035"/>
    </row>
    <row r="669" spans="1:26" s="498" customFormat="1" ht="12" customHeight="1">
      <c r="A669" s="8"/>
      <c r="B669" s="8"/>
      <c r="C669" s="34"/>
      <c r="D669" s="34"/>
      <c r="E669" s="8"/>
      <c r="F669" s="8"/>
      <c r="G669" s="132"/>
      <c r="H669" s="8"/>
      <c r="I669" s="8"/>
      <c r="J669" s="8"/>
      <c r="K669" s="15"/>
      <c r="L669" s="8"/>
      <c r="M669" s="8"/>
      <c r="N669" s="49"/>
      <c r="O669" s="1035"/>
      <c r="P669" s="8"/>
      <c r="Q669" s="8"/>
      <c r="R669" s="685"/>
      <c r="S669" s="132"/>
      <c r="T669" s="132"/>
      <c r="U669" s="8"/>
      <c r="V669" s="86"/>
      <c r="W669" s="8"/>
      <c r="X669" s="8"/>
      <c r="Y669" s="8"/>
      <c r="Z669" s="8"/>
    </row>
    <row r="670" spans="1:26" s="498" customFormat="1" ht="12" customHeight="1">
      <c r="A670" s="8"/>
      <c r="B670" s="8"/>
      <c r="C670" s="34"/>
      <c r="D670" s="34"/>
      <c r="E670" s="8"/>
      <c r="F670" s="8"/>
      <c r="G670" s="132"/>
      <c r="H670" s="8"/>
      <c r="I670" s="8"/>
      <c r="J670" s="8"/>
      <c r="K670" s="15"/>
      <c r="L670" s="8"/>
      <c r="M670" s="8"/>
      <c r="N670" s="49"/>
      <c r="O670" s="1035"/>
      <c r="P670" s="8"/>
      <c r="Q670" s="8"/>
      <c r="R670" s="685"/>
      <c r="S670" s="132"/>
      <c r="T670" s="132"/>
      <c r="U670" s="8"/>
      <c r="V670" s="86"/>
      <c r="W670" s="8"/>
      <c r="X670" s="8"/>
      <c r="Y670" s="8"/>
      <c r="Z670" s="8"/>
    </row>
    <row r="671" spans="1:26" s="498" customFormat="1" ht="12" customHeight="1">
      <c r="A671" s="8"/>
      <c r="B671" s="8"/>
      <c r="C671" s="34"/>
      <c r="D671" s="34"/>
      <c r="E671" s="8"/>
      <c r="F671" s="8"/>
      <c r="G671" s="132"/>
      <c r="H671" s="8"/>
      <c r="I671" s="8"/>
      <c r="J671" s="8"/>
      <c r="K671" s="15"/>
      <c r="L671" s="8"/>
      <c r="M671" s="8"/>
      <c r="N671" s="49"/>
      <c r="O671" s="1035"/>
      <c r="P671" s="8"/>
      <c r="Q671" s="8"/>
      <c r="R671" s="685"/>
      <c r="S671" s="132"/>
      <c r="T671" s="132"/>
      <c r="U671" s="8"/>
      <c r="V671" s="86"/>
      <c r="W671" s="8"/>
      <c r="X671" s="8"/>
      <c r="Y671" s="8"/>
      <c r="Z671" s="8"/>
    </row>
    <row r="672" spans="1:26" s="498" customFormat="1" ht="12" customHeight="1">
      <c r="A672" s="8"/>
      <c r="B672" s="8"/>
      <c r="C672" s="34"/>
      <c r="D672" s="34"/>
      <c r="E672" s="8"/>
      <c r="F672" s="8"/>
      <c r="G672" s="132"/>
      <c r="H672" s="8"/>
      <c r="I672" s="8"/>
      <c r="J672" s="8"/>
      <c r="K672" s="15"/>
      <c r="L672" s="8"/>
      <c r="M672" s="8"/>
      <c r="N672" s="49"/>
      <c r="O672" s="1035"/>
      <c r="P672" s="8"/>
      <c r="Q672" s="8"/>
      <c r="R672" s="685"/>
      <c r="S672" s="132"/>
      <c r="T672" s="132"/>
      <c r="U672" s="8"/>
      <c r="V672" s="86"/>
      <c r="W672" s="8"/>
      <c r="X672" s="8"/>
      <c r="Y672" s="8"/>
      <c r="Z672" s="8"/>
    </row>
    <row r="673" spans="1:26" s="115" customFormat="1" ht="12" customHeight="1">
      <c r="A673" s="8"/>
      <c r="B673" s="8"/>
      <c r="C673" s="34"/>
      <c r="D673" s="34"/>
      <c r="E673" s="8"/>
      <c r="F673" s="8"/>
      <c r="G673" s="132"/>
      <c r="H673" s="8"/>
      <c r="I673" s="8"/>
      <c r="J673" s="8"/>
      <c r="K673" s="15"/>
      <c r="L673" s="8"/>
      <c r="M673" s="8"/>
      <c r="N673" s="49"/>
      <c r="O673" s="1035"/>
      <c r="P673" s="8"/>
      <c r="Q673" s="8"/>
      <c r="R673" s="685"/>
      <c r="S673" s="132"/>
      <c r="T673" s="132"/>
      <c r="U673" s="8"/>
      <c r="V673" s="86"/>
      <c r="W673" s="8"/>
      <c r="X673" s="8"/>
      <c r="Y673" s="8"/>
      <c r="Z673" s="8"/>
    </row>
    <row r="674" spans="1:26" s="115" customFormat="1" ht="12" customHeight="1">
      <c r="A674" s="8"/>
      <c r="B674" s="8"/>
      <c r="C674" s="34"/>
      <c r="D674" s="34"/>
      <c r="E674" s="8"/>
      <c r="F674" s="8"/>
      <c r="G674" s="132"/>
      <c r="H674" s="8"/>
      <c r="I674" s="8"/>
      <c r="J674" s="8"/>
      <c r="K674" s="15"/>
      <c r="L674" s="8"/>
      <c r="M674" s="8"/>
      <c r="N674" s="49"/>
      <c r="O674" s="1035"/>
      <c r="P674" s="8"/>
      <c r="Q674" s="8"/>
      <c r="R674" s="685"/>
      <c r="S674" s="132"/>
      <c r="T674" s="132"/>
      <c r="U674" s="8"/>
      <c r="V674" s="86"/>
      <c r="W674" s="8"/>
      <c r="X674" s="8"/>
      <c r="Y674" s="8"/>
      <c r="Z674" s="8"/>
    </row>
    <row r="675" spans="1:26" s="1003" customFormat="1" ht="12" customHeight="1">
      <c r="A675" s="8"/>
      <c r="B675" s="8"/>
      <c r="C675" s="34"/>
      <c r="D675" s="34"/>
      <c r="E675" s="8"/>
      <c r="F675" s="8"/>
      <c r="G675" s="132"/>
      <c r="H675" s="8"/>
      <c r="I675" s="8"/>
      <c r="J675" s="8"/>
      <c r="K675" s="15"/>
      <c r="L675" s="8"/>
      <c r="M675" s="8"/>
      <c r="N675" s="49"/>
      <c r="O675" s="1035"/>
      <c r="P675" s="8"/>
      <c r="Q675" s="8"/>
      <c r="R675" s="685"/>
      <c r="S675" s="132"/>
      <c r="T675" s="132"/>
      <c r="U675" s="8"/>
      <c r="V675" s="86"/>
      <c r="W675" s="8"/>
      <c r="X675" s="8"/>
      <c r="Y675" s="8"/>
      <c r="Z675" s="8"/>
    </row>
    <row r="676" spans="1:26" s="923" customFormat="1" ht="12" customHeight="1">
      <c r="A676" s="10"/>
      <c r="B676" s="8"/>
      <c r="C676" s="34"/>
      <c r="D676" s="34"/>
      <c r="E676" s="8"/>
      <c r="F676" s="8"/>
      <c r="G676" s="132"/>
      <c r="H676" s="8"/>
      <c r="I676" s="8"/>
      <c r="J676" s="8"/>
      <c r="K676" s="15"/>
      <c r="L676" s="8"/>
      <c r="M676" s="8"/>
      <c r="N676" s="49"/>
      <c r="O676" s="1035"/>
      <c r="P676" s="8"/>
      <c r="Q676" s="8"/>
      <c r="R676" s="685"/>
      <c r="S676" s="132"/>
      <c r="T676" s="132"/>
      <c r="U676" s="919"/>
      <c r="V676" s="86"/>
      <c r="W676" s="8"/>
      <c r="X676" s="8"/>
      <c r="Y676" s="8"/>
      <c r="Z676" s="8"/>
    </row>
    <row r="677" spans="1:26" s="923" customFormat="1" ht="12" customHeight="1">
      <c r="A677" s="510"/>
      <c r="B677" s="7"/>
      <c r="C677" s="29"/>
      <c r="D677" s="1266" t="s">
        <v>576</v>
      </c>
      <c r="E677" s="8"/>
      <c r="F677" s="7"/>
      <c r="G677" s="133"/>
      <c r="H677" s="404"/>
      <c r="I677" s="870"/>
      <c r="J677" s="870"/>
      <c r="K677" s="872"/>
      <c r="L677" s="873"/>
      <c r="M677" s="870"/>
      <c r="N677" s="457"/>
      <c r="O677" s="1012"/>
      <c r="P677" s="7"/>
      <c r="Q677" s="8"/>
      <c r="R677" s="685"/>
      <c r="S677" s="133"/>
      <c r="T677" s="133"/>
      <c r="U677" s="1383"/>
      <c r="V677" s="86"/>
      <c r="W677" s="8"/>
      <c r="X677" s="8"/>
      <c r="Y677" s="8"/>
      <c r="Z677" s="8"/>
    </row>
    <row r="678" spans="1:26" s="1620" customFormat="1" ht="12" customHeight="1">
      <c r="A678" s="10"/>
      <c r="B678" s="8"/>
      <c r="C678" s="34"/>
      <c r="D678" s="34"/>
      <c r="E678" s="8"/>
      <c r="F678" s="8"/>
      <c r="G678" s="132"/>
      <c r="H678" s="8"/>
      <c r="I678" s="8"/>
      <c r="J678" s="8"/>
      <c r="K678" s="15"/>
      <c r="L678" s="8"/>
      <c r="M678" s="8"/>
      <c r="N678" s="49"/>
      <c r="O678" s="1035"/>
      <c r="P678" s="8"/>
      <c r="Q678" s="8"/>
      <c r="R678" s="685"/>
      <c r="S678" s="132"/>
      <c r="T678" s="132"/>
      <c r="U678" s="919"/>
      <c r="V678" s="86"/>
      <c r="W678" s="8"/>
      <c r="X678" s="8"/>
      <c r="Y678" s="8"/>
      <c r="Z678" s="8"/>
    </row>
    <row r="679" spans="1:26" s="115" customFormat="1" ht="12" customHeight="1">
      <c r="A679" s="8"/>
      <c r="B679" s="8"/>
      <c r="C679" s="34"/>
      <c r="D679" s="34"/>
      <c r="E679" s="8"/>
      <c r="F679" s="8"/>
      <c r="G679" s="132"/>
      <c r="H679" s="8"/>
      <c r="I679" s="8"/>
      <c r="J679" s="8"/>
      <c r="K679" s="15"/>
      <c r="L679" s="8"/>
      <c r="M679" s="8"/>
      <c r="N679" s="49"/>
      <c r="O679" s="1035"/>
      <c r="P679" s="8"/>
      <c r="Q679" s="8"/>
      <c r="R679" s="685"/>
      <c r="S679" s="132"/>
      <c r="T679" s="132"/>
      <c r="U679" s="919"/>
      <c r="V679" s="86"/>
      <c r="W679" s="8"/>
      <c r="X679" s="8"/>
      <c r="Y679" s="8"/>
      <c r="Z679" s="8"/>
    </row>
    <row r="680" spans="1:26" s="923" customFormat="1" ht="12" customHeight="1">
      <c r="A680" s="10"/>
      <c r="B680" s="8"/>
      <c r="C680" s="34"/>
      <c r="D680" s="34"/>
      <c r="E680" s="8"/>
      <c r="F680" s="8"/>
      <c r="G680" s="132"/>
      <c r="H680" s="8"/>
      <c r="I680" s="8"/>
      <c r="J680" s="8"/>
      <c r="K680" s="15"/>
      <c r="L680" s="8"/>
      <c r="M680" s="8"/>
      <c r="N680" s="49"/>
      <c r="O680" s="1035"/>
      <c r="P680" s="8"/>
      <c r="Q680" s="8"/>
      <c r="R680" s="685"/>
      <c r="S680" s="132"/>
      <c r="T680" s="132"/>
      <c r="U680" s="919"/>
      <c r="V680" s="86"/>
      <c r="W680" s="8"/>
      <c r="X680" s="8"/>
      <c r="Y680" s="8"/>
      <c r="Z680" s="8"/>
    </row>
    <row r="681" spans="1:26" s="115" customFormat="1" ht="12" customHeight="1">
      <c r="A681" s="1002"/>
      <c r="B681" s="8"/>
      <c r="C681" s="34"/>
      <c r="D681" s="34"/>
      <c r="E681" s="8"/>
      <c r="F681" s="8"/>
      <c r="G681" s="132"/>
      <c r="H681" s="8"/>
      <c r="I681" s="8"/>
      <c r="J681" s="8"/>
      <c r="K681" s="15"/>
      <c r="L681" s="8"/>
      <c r="M681" s="8"/>
      <c r="N681" s="49"/>
      <c r="O681" s="1035"/>
      <c r="P681" s="8"/>
      <c r="Q681" s="8"/>
      <c r="R681" s="685"/>
      <c r="S681" s="132"/>
      <c r="T681" s="132"/>
      <c r="U681" s="919"/>
      <c r="V681" s="86"/>
      <c r="W681" s="8"/>
      <c r="X681" s="8"/>
      <c r="Y681" s="8"/>
      <c r="Z681" s="8"/>
    </row>
    <row r="682" spans="1:26" s="923" customFormat="1" ht="12" customHeight="1">
      <c r="A682" s="1243"/>
      <c r="B682" s="1213"/>
      <c r="C682" s="1214"/>
      <c r="D682" s="1214"/>
      <c r="E682" s="1213"/>
      <c r="F682" s="1213"/>
      <c r="G682" s="1215"/>
      <c r="H682" s="1213"/>
      <c r="I682" s="1213"/>
      <c r="J682" s="1213"/>
      <c r="K682" s="1213"/>
      <c r="L682" s="1216"/>
      <c r="M682" s="1213"/>
      <c r="N682" s="1216"/>
      <c r="O682" s="1217"/>
      <c r="P682" s="1213"/>
      <c r="Q682" s="1213"/>
      <c r="R682" s="1218"/>
      <c r="S682" s="1215"/>
      <c r="T682" s="1215"/>
      <c r="U682" s="1359"/>
      <c r="V682" s="1219"/>
      <c r="W682" s="1213"/>
      <c r="X682" s="1213"/>
      <c r="Y682" s="1213"/>
      <c r="Z682" s="1213"/>
    </row>
    <row r="683" spans="1:26" s="115" customFormat="1" ht="12" customHeight="1">
      <c r="A683" s="8"/>
      <c r="B683" s="8">
        <v>3</v>
      </c>
      <c r="C683" s="31"/>
      <c r="D683" s="31"/>
      <c r="E683" s="8"/>
      <c r="F683" s="8"/>
      <c r="G683" s="132"/>
      <c r="H683" s="8"/>
      <c r="I683" s="8"/>
      <c r="J683" s="8"/>
      <c r="K683" s="8"/>
      <c r="L683" s="1103"/>
      <c r="M683" s="8"/>
      <c r="N683" s="1103"/>
      <c r="O683" s="1108"/>
      <c r="P683" s="8"/>
      <c r="Q683" s="8"/>
      <c r="R683" s="685"/>
      <c r="S683" s="132"/>
      <c r="T683" s="132"/>
      <c r="U683" s="916"/>
      <c r="V683" s="86"/>
      <c r="W683" s="8"/>
      <c r="X683" s="8"/>
      <c r="Y683" s="8"/>
      <c r="Z683" s="8"/>
    </row>
    <row r="684" spans="1:26" s="115" customFormat="1" ht="12" customHeight="1">
      <c r="A684" s="8"/>
      <c r="B684" s="8"/>
      <c r="C684" s="31"/>
      <c r="D684" s="31"/>
      <c r="E684" s="8"/>
      <c r="F684" s="8"/>
      <c r="G684" s="132"/>
      <c r="H684" s="8"/>
      <c r="I684" s="8"/>
      <c r="J684" s="8"/>
      <c r="K684" s="8"/>
      <c r="L684" s="1103"/>
      <c r="M684" s="8"/>
      <c r="N684" s="1103"/>
      <c r="O684" s="1108"/>
      <c r="P684" s="8"/>
      <c r="Q684" s="8"/>
      <c r="R684" s="685"/>
      <c r="S684" s="132"/>
      <c r="T684" s="132"/>
      <c r="U684" s="916"/>
      <c r="V684" s="86"/>
      <c r="W684" s="8"/>
      <c r="X684" s="8"/>
      <c r="Y684" s="8"/>
      <c r="Z684" s="8"/>
    </row>
    <row r="685" spans="1:26" s="115" customFormat="1" ht="12" customHeight="1">
      <c r="A685" s="7"/>
      <c r="B685" s="7"/>
      <c r="C685" s="29"/>
      <c r="D685" s="1266" t="s">
        <v>576</v>
      </c>
      <c r="E685" s="8"/>
      <c r="F685" s="407"/>
      <c r="G685" s="999"/>
      <c r="H685" s="998"/>
      <c r="I685" s="407"/>
      <c r="J685" s="407"/>
      <c r="K685" s="407"/>
      <c r="L685" s="998"/>
      <c r="M685" s="407"/>
      <c r="N685" s="1121"/>
      <c r="O685" s="1048"/>
      <c r="P685" s="407"/>
      <c r="Q685" s="407"/>
      <c r="R685" s="1000"/>
      <c r="S685" s="999"/>
      <c r="T685" s="999"/>
      <c r="U685" s="1721"/>
      <c r="V685" s="1605"/>
      <c r="W685" s="407"/>
      <c r="X685" s="407"/>
      <c r="Y685" s="407"/>
      <c r="Z685" s="407"/>
    </row>
    <row r="686" spans="1:26" s="923" customFormat="1" ht="12" customHeight="1">
      <c r="A686" s="10"/>
      <c r="B686" s="8"/>
      <c r="C686" s="34"/>
      <c r="D686" s="34"/>
      <c r="E686" s="8"/>
      <c r="F686" s="8"/>
      <c r="G686" s="132"/>
      <c r="H686" s="8"/>
      <c r="I686" s="8"/>
      <c r="J686" s="8"/>
      <c r="K686" s="15"/>
      <c r="L686" s="8"/>
      <c r="M686" s="8"/>
      <c r="N686" s="49"/>
      <c r="O686" s="1035"/>
      <c r="P686" s="8"/>
      <c r="Q686" s="8"/>
      <c r="R686" s="685"/>
      <c r="S686" s="132"/>
      <c r="T686" s="132"/>
      <c r="U686" s="13"/>
      <c r="V686" s="86"/>
      <c r="W686" s="8"/>
      <c r="X686" s="8"/>
      <c r="Y686" s="8"/>
      <c r="Z686" s="8"/>
    </row>
    <row r="687" spans="1:26" s="115" customFormat="1" ht="12" customHeight="1">
      <c r="A687" s="10"/>
      <c r="B687" s="8"/>
      <c r="C687" s="34"/>
      <c r="D687" s="34"/>
      <c r="E687" s="8"/>
      <c r="F687" s="8"/>
      <c r="G687" s="132"/>
      <c r="H687" s="8"/>
      <c r="I687" s="8"/>
      <c r="J687" s="8"/>
      <c r="K687" s="15"/>
      <c r="L687" s="2" t="s">
        <v>3418</v>
      </c>
      <c r="M687" s="8"/>
      <c r="N687" s="49"/>
      <c r="O687" s="1035"/>
      <c r="P687" s="8"/>
      <c r="Q687" s="8"/>
      <c r="R687" s="685"/>
      <c r="S687" s="132"/>
      <c r="T687" s="132"/>
      <c r="U687" s="13"/>
      <c r="V687" s="86"/>
      <c r="W687" s="8"/>
      <c r="X687" s="8"/>
      <c r="Y687" s="8"/>
      <c r="Z687" s="8"/>
    </row>
    <row r="688" spans="1:26" s="115" customFormat="1" ht="12" customHeight="1">
      <c r="A688" s="10"/>
      <c r="B688" s="8"/>
      <c r="C688" s="34"/>
      <c r="D688" s="34"/>
      <c r="E688" s="8"/>
      <c r="F688" s="8"/>
      <c r="G688" s="132"/>
      <c r="H688" s="8"/>
      <c r="I688" s="8"/>
      <c r="J688" s="8"/>
      <c r="K688" s="15"/>
      <c r="L688" s="1426"/>
      <c r="M688" s="8"/>
      <c r="N688" s="49"/>
      <c r="O688" s="1454">
        <f>O692-U692+70+42</f>
        <v>112</v>
      </c>
      <c r="P688" s="8"/>
      <c r="Q688" s="439">
        <f>2480-620</f>
        <v>1860</v>
      </c>
      <c r="R688" s="439"/>
      <c r="S688" s="439"/>
      <c r="T688" s="439"/>
      <c r="U688" s="1457">
        <f>2480-620</f>
        <v>1860</v>
      </c>
      <c r="V688" s="86">
        <f>2480-620</f>
        <v>1860</v>
      </c>
      <c r="W688" s="8"/>
      <c r="X688" s="8"/>
      <c r="Y688" s="8"/>
      <c r="Z688" s="8"/>
    </row>
    <row r="689" spans="1:26" ht="12" customHeight="1">
      <c r="C689" s="34"/>
      <c r="D689" s="34"/>
      <c r="K689" s="15"/>
      <c r="N689" s="49"/>
      <c r="O689" s="1035"/>
    </row>
    <row r="690" spans="1:26" s="1104" customFormat="1" ht="12" customHeight="1">
      <c r="A690" s="1002"/>
      <c r="B690" s="8"/>
      <c r="C690" s="34"/>
      <c r="D690" s="34"/>
      <c r="E690" s="8"/>
      <c r="F690" s="8"/>
      <c r="G690" s="132"/>
      <c r="H690" s="8"/>
      <c r="I690" s="8"/>
      <c r="J690" s="8"/>
      <c r="K690" s="15"/>
      <c r="L690" s="8"/>
      <c r="M690" s="8"/>
      <c r="N690" s="49"/>
      <c r="O690" s="1035"/>
      <c r="P690" s="8"/>
      <c r="Q690" s="8"/>
      <c r="R690" s="685"/>
      <c r="S690" s="132"/>
      <c r="T690" s="132"/>
      <c r="U690" s="919"/>
      <c r="V690" s="86"/>
      <c r="W690" s="8"/>
      <c r="X690" s="8"/>
      <c r="Y690" s="8"/>
      <c r="Z690" s="8"/>
    </row>
    <row r="691" spans="1:26" ht="12" customHeight="1">
      <c r="L691" s="1103"/>
      <c r="N691" s="1103"/>
      <c r="O691" s="1596"/>
      <c r="U691" s="1129"/>
    </row>
    <row r="692" spans="1:26" ht="12" customHeight="1">
      <c r="A692" s="407"/>
      <c r="B692" s="407"/>
      <c r="C692" s="997"/>
      <c r="D692" s="997"/>
      <c r="E692" s="998"/>
      <c r="F692" s="407"/>
      <c r="G692" s="999"/>
      <c r="H692" s="998"/>
      <c r="I692" s="407"/>
      <c r="J692" s="407"/>
      <c r="K692" s="407"/>
      <c r="L692" s="998"/>
      <c r="M692" s="407"/>
      <c r="N692" s="1121"/>
      <c r="O692" s="1048"/>
      <c r="P692" s="407"/>
      <c r="Q692" s="407"/>
      <c r="R692" s="1000"/>
      <c r="S692" s="999"/>
      <c r="T692" s="999"/>
      <c r="U692" s="1730"/>
      <c r="V692" s="1605"/>
      <c r="W692" s="407"/>
      <c r="X692" s="407"/>
      <c r="Y692" s="407"/>
      <c r="Z692" s="407"/>
    </row>
    <row r="693" spans="1:26" ht="12" customHeight="1">
      <c r="A693" s="7"/>
      <c r="B693" s="7"/>
      <c r="C693" s="29"/>
      <c r="D693" s="1685" t="s">
        <v>576</v>
      </c>
      <c r="E693" s="132">
        <v>1382.46</v>
      </c>
      <c r="F693" s="407"/>
      <c r="G693" s="999"/>
      <c r="H693" s="998"/>
      <c r="I693" s="407"/>
      <c r="J693" s="407"/>
      <c r="K693" s="1519">
        <f>5200/52</f>
        <v>100</v>
      </c>
      <c r="L693" s="998"/>
      <c r="M693" s="407"/>
      <c r="N693" s="1121"/>
      <c r="O693" s="1048">
        <f>(O685+O687+O688)*0.75</f>
        <v>84</v>
      </c>
      <c r="P693" s="407"/>
      <c r="Q693" s="407"/>
      <c r="R693" s="1000"/>
      <c r="S693" s="999"/>
      <c r="T693" s="999"/>
      <c r="U693" s="1730"/>
      <c r="V693" s="1605"/>
      <c r="W693" s="407"/>
      <c r="X693" s="407"/>
      <c r="Y693" s="407"/>
      <c r="Z693" s="407"/>
    </row>
    <row r="694" spans="1:26" ht="12" customHeight="1">
      <c r="C694" s="34"/>
      <c r="D694" s="1685" t="s">
        <v>2525</v>
      </c>
      <c r="E694" s="132">
        <v>260</v>
      </c>
      <c r="K694" s="1518">
        <f>43200/600</f>
        <v>72</v>
      </c>
      <c r="N694" s="49"/>
      <c r="O694" s="1035"/>
      <c r="U694" s="132"/>
    </row>
    <row r="695" spans="1:26" s="407" customFormat="1" ht="12" customHeight="1" thickBot="1">
      <c r="A695" s="8"/>
      <c r="B695" s="8"/>
      <c r="C695" s="34"/>
      <c r="D695" s="439" t="s">
        <v>3777</v>
      </c>
      <c r="E695" s="132">
        <f>833.8/2</f>
        <v>416.9</v>
      </c>
      <c r="F695" s="8"/>
      <c r="G695" s="132"/>
      <c r="H695" s="8"/>
      <c r="I695" s="8"/>
      <c r="J695" s="8"/>
      <c r="K695" s="15"/>
      <c r="L695" s="8"/>
      <c r="M695" s="8"/>
      <c r="N695" s="49"/>
      <c r="O695" s="1035"/>
      <c r="P695" s="8"/>
      <c r="Q695" s="8"/>
      <c r="R695" s="685"/>
      <c r="S695" s="132"/>
      <c r="T695" s="132"/>
      <c r="U695" s="13"/>
      <c r="V695" s="86"/>
      <c r="W695" s="8"/>
      <c r="X695" s="8"/>
      <c r="Y695" s="8"/>
      <c r="Z695" s="8"/>
    </row>
    <row r="696" spans="1:26" s="407" customFormat="1" ht="12" customHeight="1" thickBot="1">
      <c r="A696" s="1244"/>
      <c r="B696" s="782"/>
      <c r="C696" s="34"/>
      <c r="D696" s="1680" t="s">
        <v>3776</v>
      </c>
      <c r="E696" s="1585">
        <v>383.76</v>
      </c>
      <c r="F696" s="8"/>
      <c r="G696" s="132"/>
      <c r="H696" s="8"/>
      <c r="I696" s="8"/>
      <c r="J696" s="8"/>
      <c r="K696" s="15"/>
      <c r="L696" s="8"/>
      <c r="M696" s="8"/>
      <c r="N696" s="49"/>
      <c r="O696" s="1035"/>
      <c r="P696" s="8"/>
      <c r="Q696" s="8"/>
      <c r="R696" s="685"/>
      <c r="S696" s="132"/>
      <c r="T696" s="132"/>
      <c r="U696" s="13"/>
      <c r="V696" s="86"/>
      <c r="W696" s="8"/>
      <c r="X696" s="8"/>
      <c r="Y696" s="8"/>
      <c r="Z696" s="8"/>
    </row>
    <row r="697" spans="1:26" s="407" customFormat="1" ht="12" customHeight="1" thickBot="1">
      <c r="A697" s="519"/>
      <c r="B697" s="541"/>
      <c r="C697" s="1672"/>
      <c r="D697" s="1687" t="s">
        <v>3778</v>
      </c>
      <c r="E697" s="1587">
        <f>7000/2</f>
        <v>3500</v>
      </c>
      <c r="F697" s="8"/>
      <c r="G697" s="132"/>
      <c r="H697" s="8"/>
      <c r="I697" s="8"/>
      <c r="J697" s="8"/>
      <c r="K697" s="15"/>
      <c r="L697" s="8"/>
      <c r="M697" s="8"/>
      <c r="N697" s="49"/>
      <c r="O697" s="1035"/>
      <c r="P697" s="8"/>
      <c r="Q697" s="8"/>
      <c r="R697" s="685"/>
      <c r="S697" s="132"/>
      <c r="T697" s="132"/>
      <c r="U697" s="13"/>
      <c r="V697" s="86"/>
      <c r="W697" s="8"/>
      <c r="X697" s="8"/>
      <c r="Y697" s="8"/>
      <c r="Z697" s="8"/>
    </row>
    <row r="698" spans="1:26" s="407" customFormat="1" ht="12" customHeight="1" thickBot="1">
      <c r="A698" s="8"/>
      <c r="B698" s="8"/>
      <c r="C698" s="34"/>
      <c r="D698" s="1687" t="s">
        <v>3255</v>
      </c>
      <c r="E698" s="1587">
        <v>327.36</v>
      </c>
      <c r="F698" s="8"/>
      <c r="G698" s="132"/>
      <c r="H698" s="8"/>
      <c r="I698" s="8"/>
      <c r="J698" s="8"/>
      <c r="K698" s="15"/>
      <c r="L698" s="8"/>
      <c r="M698" s="8"/>
      <c r="N698" s="49"/>
      <c r="O698" s="1035"/>
      <c r="P698" s="8"/>
      <c r="Q698" s="8"/>
      <c r="R698" s="685"/>
      <c r="S698" s="132"/>
      <c r="T698" s="132"/>
      <c r="U698" s="13"/>
      <c r="V698" s="86"/>
      <c r="W698" s="8"/>
      <c r="X698" s="8"/>
      <c r="Y698" s="8"/>
      <c r="Z698" s="8"/>
    </row>
    <row r="699" spans="1:26" s="407" customFormat="1" ht="12" customHeight="1" thickBot="1">
      <c r="A699" s="1244"/>
      <c r="B699" s="782"/>
      <c r="C699" s="34"/>
      <c r="D699" s="1687" t="s">
        <v>3936</v>
      </c>
      <c r="E699" s="1587"/>
      <c r="F699" s="8"/>
      <c r="G699" s="132"/>
      <c r="H699" s="8"/>
      <c r="I699" s="8"/>
      <c r="J699" s="8"/>
      <c r="K699" s="15"/>
      <c r="L699" s="8"/>
      <c r="M699" s="8"/>
      <c r="N699" s="49"/>
      <c r="O699" s="1035"/>
      <c r="P699" s="8"/>
      <c r="Q699" s="8"/>
      <c r="R699" s="685"/>
      <c r="S699" s="132"/>
      <c r="T699" s="132"/>
      <c r="U699" s="13"/>
      <c r="V699" s="86"/>
      <c r="W699" s="8"/>
      <c r="X699" s="8"/>
      <c r="Y699" s="8"/>
      <c r="Z699" s="8"/>
    </row>
    <row r="700" spans="1:26" s="407" customFormat="1" ht="12" customHeight="1" thickBot="1">
      <c r="A700" s="1644"/>
      <c r="B700" s="1281"/>
      <c r="C700" s="34"/>
      <c r="D700" s="1693"/>
      <c r="E700" s="1704"/>
      <c r="F700" s="8"/>
      <c r="G700" s="132"/>
      <c r="H700" s="8"/>
      <c r="I700" s="8"/>
      <c r="J700" s="8"/>
      <c r="K700" s="15"/>
      <c r="L700" s="8"/>
      <c r="M700" s="8"/>
      <c r="N700" s="49"/>
      <c r="O700" s="1035"/>
      <c r="P700" s="8"/>
      <c r="Q700" s="8"/>
      <c r="R700" s="685"/>
      <c r="S700" s="132"/>
      <c r="T700" s="132"/>
      <c r="U700" s="919"/>
      <c r="V700" s="86"/>
      <c r="W700" s="8"/>
      <c r="X700" s="8"/>
      <c r="Y700" s="8"/>
      <c r="Z700" s="8"/>
    </row>
    <row r="701" spans="1:26" s="407" customFormat="1" ht="12" customHeight="1">
      <c r="A701" s="1002"/>
      <c r="B701" s="13"/>
      <c r="C701" s="34"/>
      <c r="D701" s="1693"/>
      <c r="E701" s="1704"/>
      <c r="F701" s="8"/>
      <c r="G701" s="132"/>
      <c r="H701" s="8"/>
      <c r="I701" s="8"/>
      <c r="J701" s="8"/>
      <c r="K701" s="15"/>
      <c r="L701" s="8"/>
      <c r="M701" s="8"/>
      <c r="N701" s="49"/>
      <c r="O701" s="1035"/>
      <c r="P701" s="8"/>
      <c r="Q701" s="8"/>
      <c r="R701" s="685"/>
      <c r="S701" s="132"/>
      <c r="T701" s="132"/>
      <c r="U701" s="919"/>
      <c r="V701" s="86"/>
      <c r="W701" s="8"/>
      <c r="X701" s="8"/>
      <c r="Y701" s="8"/>
      <c r="Z701" s="8"/>
    </row>
    <row r="702" spans="1:26" ht="12" customHeight="1" thickBot="1">
      <c r="A702" s="519"/>
      <c r="B702" s="541"/>
      <c r="D702" s="1691"/>
      <c r="E702" s="1701"/>
      <c r="N702" s="683"/>
      <c r="O702" s="1108"/>
      <c r="U702" s="1368"/>
    </row>
    <row r="703" spans="1:26">
      <c r="A703" s="1104"/>
      <c r="B703" s="1104"/>
      <c r="C703" s="1105"/>
      <c r="D703" s="1105"/>
      <c r="E703" s="1104"/>
      <c r="F703" s="1104"/>
      <c r="G703" s="1106"/>
      <c r="H703" s="1104"/>
      <c r="I703" s="1104"/>
      <c r="J703" s="1104"/>
      <c r="K703" s="1107"/>
      <c r="L703" s="1104"/>
      <c r="M703" s="1104"/>
      <c r="N703" s="1103"/>
      <c r="O703" s="1122"/>
      <c r="P703" s="1104"/>
      <c r="Q703" s="1104"/>
      <c r="R703" s="1123"/>
      <c r="S703" s="1106"/>
      <c r="T703" s="1106"/>
      <c r="U703" s="1106"/>
      <c r="V703" s="1598"/>
      <c r="W703" s="1104"/>
      <c r="X703" s="1104"/>
      <c r="Y703" s="1104"/>
      <c r="Z703" s="1104"/>
    </row>
    <row r="704" spans="1:26">
      <c r="H704" s="495"/>
      <c r="L704" s="15"/>
      <c r="N704" s="1103"/>
      <c r="O704" s="1108"/>
      <c r="U704" s="916"/>
    </row>
    <row r="705" spans="1:26" ht="12" customHeight="1">
      <c r="L705" s="371"/>
      <c r="N705" s="1103"/>
      <c r="O705" s="1108"/>
      <c r="U705" s="1129"/>
    </row>
    <row r="706" spans="1:26" ht="13.2">
      <c r="N706" s="683"/>
      <c r="O706" s="1108"/>
      <c r="U706" s="916"/>
    </row>
    <row r="707" spans="1:26">
      <c r="L707" s="1103"/>
      <c r="N707" s="1103"/>
      <c r="O707" s="1108"/>
      <c r="U707" s="1129"/>
    </row>
    <row r="708" spans="1:26" ht="14.4">
      <c r="A708" s="407"/>
      <c r="B708" s="407"/>
      <c r="C708" s="997"/>
      <c r="D708" s="997"/>
      <c r="E708" s="998"/>
      <c r="F708" s="407"/>
      <c r="G708" s="999"/>
      <c r="H708" s="998"/>
      <c r="I708" s="407"/>
      <c r="J708" s="407"/>
      <c r="K708" s="407"/>
      <c r="L708" s="998"/>
      <c r="M708" s="407"/>
      <c r="N708" s="1121"/>
      <c r="O708" s="1048"/>
      <c r="P708" s="407"/>
      <c r="Q708" s="407"/>
      <c r="R708" s="1000"/>
      <c r="S708" s="999"/>
      <c r="T708" s="999"/>
      <c r="U708" s="1730"/>
      <c r="V708" s="1605"/>
      <c r="W708" s="407"/>
      <c r="X708" s="407"/>
      <c r="Y708" s="407"/>
      <c r="Z708" s="407"/>
    </row>
    <row r="709" spans="1:26" ht="14.4">
      <c r="A709" s="7"/>
      <c r="B709" s="7"/>
      <c r="C709" s="29"/>
      <c r="D709" s="1266" t="s">
        <v>576</v>
      </c>
      <c r="E709" s="132"/>
      <c r="F709" s="407"/>
      <c r="G709" s="999"/>
      <c r="H709" s="998"/>
      <c r="I709" s="407"/>
      <c r="J709" s="407"/>
      <c r="K709" s="407"/>
      <c r="L709" s="998"/>
      <c r="M709" s="407"/>
      <c r="N709" s="1121"/>
      <c r="O709" s="1048"/>
      <c r="P709" s="407"/>
      <c r="Q709" s="407"/>
      <c r="R709" s="1000"/>
      <c r="S709" s="999"/>
      <c r="T709" s="999"/>
      <c r="U709" s="1730"/>
      <c r="V709" s="1605"/>
      <c r="W709" s="407"/>
      <c r="X709" s="407"/>
      <c r="Y709" s="407"/>
      <c r="Z709" s="407"/>
    </row>
    <row r="716" spans="1:26" ht="12" customHeight="1" thickBot="1"/>
    <row r="717" spans="1:26" ht="12" customHeight="1">
      <c r="A717" s="1244"/>
      <c r="B717" s="792"/>
      <c r="C717" s="793"/>
      <c r="D717" s="793"/>
      <c r="E717" s="792"/>
      <c r="F717" s="792"/>
      <c r="G717" s="794"/>
      <c r="H717" s="792"/>
      <c r="I717" s="792"/>
      <c r="J717" s="792"/>
      <c r="K717" s="792"/>
      <c r="L717" s="792"/>
      <c r="M717" s="792"/>
      <c r="N717" s="792"/>
      <c r="O717" s="1049"/>
      <c r="P717" s="792"/>
      <c r="Q717" s="792"/>
      <c r="R717" s="880"/>
      <c r="S717" s="794"/>
      <c r="T717" s="794"/>
      <c r="U717" s="782"/>
    </row>
    <row r="718" spans="1:26" ht="12" customHeight="1">
      <c r="A718" s="10"/>
      <c r="U718" s="13"/>
    </row>
    <row r="719" spans="1:26" ht="12" customHeight="1">
      <c r="A719" s="10"/>
      <c r="U719" s="13"/>
    </row>
    <row r="720" spans="1:26" ht="12" customHeight="1">
      <c r="A720" s="10"/>
      <c r="U720" s="13"/>
    </row>
    <row r="721" spans="1:21" ht="12" customHeight="1">
      <c r="A721" s="10"/>
      <c r="U721" s="13"/>
    </row>
    <row r="722" spans="1:21" ht="12" customHeight="1">
      <c r="A722" s="10"/>
      <c r="U722" s="13"/>
    </row>
    <row r="723" spans="1:21" ht="12" customHeight="1">
      <c r="A723" s="10"/>
      <c r="U723" s="13"/>
    </row>
    <row r="724" spans="1:21" ht="12" customHeight="1" thickBot="1">
      <c r="A724" s="519"/>
      <c r="B724" s="778"/>
      <c r="C724" s="819"/>
      <c r="D724" s="819"/>
      <c r="E724" s="778"/>
      <c r="F724" s="778"/>
      <c r="G724" s="779"/>
      <c r="H724" s="778"/>
      <c r="I724" s="778"/>
      <c r="J724" s="778"/>
      <c r="K724" s="778"/>
      <c r="L724" s="778"/>
      <c r="M724" s="778"/>
      <c r="N724" s="778"/>
      <c r="O724" s="1016">
        <f>SUM(O718:O723)</f>
        <v>0</v>
      </c>
      <c r="P724" s="778"/>
      <c r="Q724" s="778"/>
      <c r="R724" s="895">
        <f>SUM(R718:R723)</f>
        <v>0</v>
      </c>
      <c r="S724" s="779"/>
      <c r="T724" s="779"/>
      <c r="U724" s="541"/>
    </row>
    <row r="726" spans="1:21" ht="12" customHeight="1">
      <c r="O726" s="1015">
        <f>7500*0.75</f>
        <v>5625</v>
      </c>
    </row>
    <row r="727" spans="1:21" ht="12" customHeight="1">
      <c r="A727" s="8" t="s">
        <v>467</v>
      </c>
    </row>
    <row r="728" spans="1:21" ht="12" customHeight="1">
      <c r="A728" s="8" t="s">
        <v>468</v>
      </c>
      <c r="N728" s="8" t="s">
        <v>469</v>
      </c>
    </row>
    <row r="729" spans="1:21" ht="12" customHeight="1">
      <c r="C729" s="8"/>
      <c r="D729" s="8"/>
      <c r="N729" s="49"/>
    </row>
    <row r="730" spans="1:21" ht="12" customHeight="1">
      <c r="C730" s="8"/>
      <c r="D730" s="8"/>
      <c r="N730" s="49"/>
    </row>
    <row r="731" spans="1:21" ht="12" customHeight="1">
      <c r="C731" s="8"/>
      <c r="D731" s="8"/>
      <c r="N731" s="49"/>
    </row>
    <row r="732" spans="1:21" ht="12" customHeight="1">
      <c r="C732" s="8"/>
      <c r="D732" s="8"/>
      <c r="N732" s="49"/>
    </row>
    <row r="733" spans="1:21" ht="12" customHeight="1">
      <c r="C733" s="8"/>
      <c r="D733" s="8"/>
      <c r="N733" s="49"/>
    </row>
    <row r="734" spans="1:21" ht="12" customHeight="1">
      <c r="C734" s="8"/>
      <c r="D734" s="8"/>
      <c r="N734" s="49"/>
    </row>
    <row r="735" spans="1:21" ht="12" customHeight="1">
      <c r="C735" s="8"/>
      <c r="D735" s="8"/>
      <c r="N735" s="49"/>
    </row>
    <row r="736" spans="1:21" ht="12" customHeight="1">
      <c r="C736" s="8"/>
      <c r="D736" s="8"/>
      <c r="N736" s="49"/>
    </row>
    <row r="737" spans="3:14" ht="12" customHeight="1">
      <c r="C737" s="8"/>
      <c r="D737" s="8"/>
      <c r="N737" s="49"/>
    </row>
    <row r="738" spans="3:14" ht="12" customHeight="1">
      <c r="C738" s="8"/>
      <c r="D738" s="8"/>
      <c r="N738" s="49"/>
    </row>
    <row r="739" spans="3:14" ht="12" customHeight="1">
      <c r="C739" s="8"/>
      <c r="D739" s="8"/>
      <c r="N739" s="49"/>
    </row>
    <row r="740" spans="3:14" ht="12" customHeight="1">
      <c r="C740" s="8"/>
      <c r="D740" s="8"/>
      <c r="N740" s="49"/>
    </row>
    <row r="741" spans="3:14" ht="12" customHeight="1">
      <c r="C741" s="8"/>
      <c r="D741" s="8"/>
      <c r="N741" s="49"/>
    </row>
    <row r="742" spans="3:14" ht="12" customHeight="1">
      <c r="C742" s="8"/>
      <c r="D742" s="8"/>
      <c r="N742" s="49"/>
    </row>
    <row r="743" spans="3:14" ht="12" customHeight="1">
      <c r="C743" s="8"/>
      <c r="D743" s="8"/>
      <c r="N743" s="49"/>
    </row>
    <row r="744" spans="3:14" ht="12" customHeight="1">
      <c r="C744" s="8"/>
      <c r="D744" s="8"/>
      <c r="N744" s="49"/>
    </row>
    <row r="745" spans="3:14" ht="12" customHeight="1">
      <c r="C745" s="8"/>
      <c r="D745" s="8"/>
      <c r="N745" s="49"/>
    </row>
    <row r="746" spans="3:14" ht="12" customHeight="1">
      <c r="C746" s="8"/>
      <c r="D746" s="8"/>
      <c r="N746" s="49"/>
    </row>
    <row r="747" spans="3:14" ht="12" customHeight="1">
      <c r="C747" s="8"/>
      <c r="D747" s="8"/>
      <c r="N747" s="49"/>
    </row>
    <row r="748" spans="3:14" ht="12" customHeight="1">
      <c r="C748" s="8"/>
      <c r="D748" s="8"/>
      <c r="N748" s="49"/>
    </row>
    <row r="749" spans="3:14" ht="12" customHeight="1">
      <c r="C749" s="8"/>
      <c r="D749" s="8"/>
      <c r="N749" s="49"/>
    </row>
  </sheetData>
  <sortState xmlns:xlrd2="http://schemas.microsoft.com/office/spreadsheetml/2017/richdata2" ref="A3:Z723">
    <sortCondition ref="J3:J723"/>
    <sortCondition ref="A3:A723"/>
  </sortState>
  <conditionalFormatting sqref="B82 B115 B147 B190 B246 B310 B376">
    <cfRule type="cellIs" dxfId="144" priority="39" stopIfTrue="1" operator="lessThan">
      <formula>0</formula>
    </cfRule>
    <cfRule type="cellIs" dxfId="143" priority="38" stopIfTrue="1" operator="greaterThanOrEqual">
      <formula>0</formula>
    </cfRule>
  </conditionalFormatting>
  <conditionalFormatting sqref="B83 B116 B148 B191 B247 B311 B377 B419">
    <cfRule type="cellIs" dxfId="142" priority="41" stopIfTrue="1" operator="between">
      <formula>1000</formula>
      <formula>2000</formula>
    </cfRule>
    <cfRule type="cellIs" dxfId="141" priority="40" stopIfTrue="1" operator="between">
      <formula>0</formula>
      <formula>1000</formula>
    </cfRule>
    <cfRule type="cellIs" dxfId="140" priority="42" stopIfTrue="1" operator="greaterThan">
      <formula>2000</formula>
    </cfRule>
  </conditionalFormatting>
  <conditionalFormatting sqref="B418">
    <cfRule type="cellIs" dxfId="139" priority="37" stopIfTrue="1" operator="lessThan">
      <formula>0</formula>
    </cfRule>
    <cfRule type="cellIs" dxfId="138" priority="36" stopIfTrue="1" operator="greaterThanOrEqual">
      <formula>0</formula>
    </cfRule>
  </conditionalFormatting>
  <conditionalFormatting sqref="B453">
    <cfRule type="cellIs" dxfId="137" priority="32" stopIfTrue="1" operator="lessThan">
      <formula>0</formula>
    </cfRule>
    <cfRule type="cellIs" dxfId="136" priority="31" stopIfTrue="1" operator="greaterThanOrEqual">
      <formula>0</formula>
    </cfRule>
  </conditionalFormatting>
  <conditionalFormatting sqref="B454">
    <cfRule type="cellIs" dxfId="135" priority="35" stopIfTrue="1" operator="greaterThan">
      <formula>2000</formula>
    </cfRule>
    <cfRule type="cellIs" dxfId="134" priority="34" stopIfTrue="1" operator="between">
      <formula>1000</formula>
      <formula>2000</formula>
    </cfRule>
    <cfRule type="cellIs" dxfId="133" priority="33" stopIfTrue="1" operator="between">
      <formula>0</formula>
      <formula>1000</formula>
    </cfRule>
  </conditionalFormatting>
  <conditionalFormatting sqref="B496">
    <cfRule type="cellIs" dxfId="132" priority="26" stopIfTrue="1" operator="greaterThanOrEqual">
      <formula>0</formula>
    </cfRule>
    <cfRule type="cellIs" dxfId="131" priority="27" stopIfTrue="1" operator="lessThan">
      <formula>0</formula>
    </cfRule>
  </conditionalFormatting>
  <conditionalFormatting sqref="B497">
    <cfRule type="cellIs" dxfId="130" priority="29" stopIfTrue="1" operator="between">
      <formula>1000</formula>
      <formula>2000</formula>
    </cfRule>
    <cfRule type="cellIs" dxfId="129" priority="28" stopIfTrue="1" operator="between">
      <formula>0</formula>
      <formula>1000</formula>
    </cfRule>
    <cfRule type="cellIs" dxfId="128" priority="30" stopIfTrue="1" operator="greaterThan">
      <formula>2000</formula>
    </cfRule>
  </conditionalFormatting>
  <conditionalFormatting sqref="B537">
    <cfRule type="cellIs" dxfId="127" priority="22" stopIfTrue="1" operator="lessThan">
      <formula>0</formula>
    </cfRule>
    <cfRule type="cellIs" dxfId="126" priority="21" stopIfTrue="1" operator="greaterThanOrEqual">
      <formula>0</formula>
    </cfRule>
  </conditionalFormatting>
  <conditionalFormatting sqref="B538">
    <cfRule type="cellIs" dxfId="125" priority="23" stopIfTrue="1" operator="between">
      <formula>0</formula>
      <formula>1000</formula>
    </cfRule>
    <cfRule type="cellIs" dxfId="124" priority="24" stopIfTrue="1" operator="between">
      <formula>1000</formula>
      <formula>2000</formula>
    </cfRule>
    <cfRule type="cellIs" dxfId="123" priority="25" stopIfTrue="1" operator="greaterThan">
      <formula>2000</formula>
    </cfRule>
  </conditionalFormatting>
  <conditionalFormatting sqref="B581">
    <cfRule type="cellIs" dxfId="122" priority="17" stopIfTrue="1" operator="lessThan">
      <formula>0</formula>
    </cfRule>
    <cfRule type="cellIs" dxfId="121" priority="16" stopIfTrue="1" operator="greaterThanOrEqual">
      <formula>0</formula>
    </cfRule>
  </conditionalFormatting>
  <conditionalFormatting sqref="B582">
    <cfRule type="cellIs" dxfId="120" priority="20" stopIfTrue="1" operator="greaterThan">
      <formula>2000</formula>
    </cfRule>
    <cfRule type="cellIs" dxfId="119" priority="19" stopIfTrue="1" operator="between">
      <formula>1000</formula>
      <formula>2000</formula>
    </cfRule>
    <cfRule type="cellIs" dxfId="118" priority="18" stopIfTrue="1" operator="between">
      <formula>0</formula>
      <formula>1000</formula>
    </cfRule>
  </conditionalFormatting>
  <conditionalFormatting sqref="B621">
    <cfRule type="cellIs" dxfId="117" priority="11" stopIfTrue="1" operator="greaterThanOrEqual">
      <formula>0</formula>
    </cfRule>
    <cfRule type="cellIs" dxfId="116" priority="12" stopIfTrue="1" operator="lessThan">
      <formula>0</formula>
    </cfRule>
  </conditionalFormatting>
  <conditionalFormatting sqref="B622">
    <cfRule type="cellIs" dxfId="115" priority="15" stopIfTrue="1" operator="greaterThan">
      <formula>2000</formula>
    </cfRule>
    <cfRule type="cellIs" dxfId="114" priority="14" stopIfTrue="1" operator="between">
      <formula>1000</formula>
      <formula>2000</formula>
    </cfRule>
    <cfRule type="cellIs" dxfId="113" priority="13" stopIfTrue="1" operator="between">
      <formula>0</formula>
      <formula>1000</formula>
    </cfRule>
  </conditionalFormatting>
  <conditionalFormatting sqref="B658">
    <cfRule type="cellIs" dxfId="112" priority="6" stopIfTrue="1" operator="greaterThanOrEqual">
      <formula>0</formula>
    </cfRule>
    <cfRule type="cellIs" dxfId="111" priority="7" stopIfTrue="1" operator="lessThan">
      <formula>0</formula>
    </cfRule>
  </conditionalFormatting>
  <conditionalFormatting sqref="B659">
    <cfRule type="cellIs" dxfId="110" priority="10" stopIfTrue="1" operator="greaterThan">
      <formula>2000</formula>
    </cfRule>
    <cfRule type="cellIs" dxfId="109" priority="9" stopIfTrue="1" operator="between">
      <formula>1000</formula>
      <formula>2000</formula>
    </cfRule>
    <cfRule type="cellIs" dxfId="108" priority="8" stopIfTrue="1" operator="between">
      <formula>0</formula>
      <formula>1000</formula>
    </cfRule>
  </conditionalFormatting>
  <conditionalFormatting sqref="B701">
    <cfRule type="cellIs" dxfId="107" priority="2" stopIfTrue="1" operator="lessThan">
      <formula>0</formula>
    </cfRule>
    <cfRule type="cellIs" dxfId="106" priority="1" stopIfTrue="1" operator="greaterThanOrEqual">
      <formula>0</formula>
    </cfRule>
  </conditionalFormatting>
  <conditionalFormatting sqref="B702">
    <cfRule type="cellIs" dxfId="105" priority="3" stopIfTrue="1" operator="between">
      <formula>0</formula>
      <formula>1000</formula>
    </cfRule>
    <cfRule type="cellIs" dxfId="104" priority="5" stopIfTrue="1" operator="greaterThan">
      <formula>2000</formula>
    </cfRule>
    <cfRule type="cellIs" dxfId="103" priority="4" stopIfTrue="1" operator="between">
      <formula>1000</formula>
      <formula>2000</formula>
    </cfRule>
  </conditionalFormatting>
  <hyperlinks>
    <hyperlink ref="N169" r:id="rId1" xr:uid="{B752E9B4-6A3A-428C-96D0-5EAA909C3D62}"/>
    <hyperlink ref="N259" r:id="rId2" xr:uid="{392F6C69-F722-488B-A0F9-55B79C135649}"/>
    <hyperlink ref="N295" r:id="rId3" xr:uid="{520683BA-3B2D-4554-9F8E-EF8AE1857A03}"/>
    <hyperlink ref="N217" r:id="rId4" xr:uid="{4B99A13B-8D04-40E5-8BE8-77A602E347F7}"/>
    <hyperlink ref="N191" r:id="rId5" xr:uid="{075D2D6A-E804-4BBD-B5D3-E775617A00AF}"/>
    <hyperlink ref="N240" r:id="rId6" xr:uid="{6E48A19F-31E6-496D-83F6-E10C1F4482F7}"/>
    <hyperlink ref="N148" r:id="rId7" xr:uid="{988B8086-13E8-47B1-9B18-E0BBD715A5A5}"/>
    <hyperlink ref="N134" r:id="rId8" xr:uid="{59D6776C-7FEE-4BAD-B65F-7E84AF03E7F1}"/>
    <hyperlink ref="N310" r:id="rId9" xr:uid="{FFB440D7-00C7-47CE-A50B-D806901AE43A}"/>
    <hyperlink ref="N245" r:id="rId10" xr:uid="{6CCFCB3A-4C43-4614-B6C5-64FE52B7BA66}"/>
    <hyperlink ref="N336" r:id="rId11" xr:uid="{2218232A-CCF9-4686-9008-E92E51564828}"/>
    <hyperlink ref="N300" r:id="rId12" xr:uid="{C9E50113-7AAC-4F94-A524-2E44BD54ABF5}"/>
    <hyperlink ref="N128" r:id="rId13" xr:uid="{1C696446-2B31-401C-A16E-BBD7E8408762}"/>
    <hyperlink ref="N272" r:id="rId14" xr:uid="{A8BA6A81-49F8-43DC-B0BF-1CCAA6A97BD7}"/>
    <hyperlink ref="N53" r:id="rId15" xr:uid="{93F86522-8A4E-451C-B2B9-0A8E9C03C79A}"/>
    <hyperlink ref="N90" r:id="rId16" xr:uid="{BC0A23B7-7718-4877-A91E-A8B2CCD8D34F}"/>
    <hyperlink ref="N282" r:id="rId17" xr:uid="{F031030F-10ED-4A4E-8EE1-00C52B6B00AA}"/>
    <hyperlink ref="N20" r:id="rId18" xr:uid="{56B73645-D69B-46CF-8094-9ADCC36574BC}"/>
    <hyperlink ref="N302" r:id="rId19" xr:uid="{A4C0059C-A100-4906-9752-4AFE3462365D}"/>
    <hyperlink ref="N298" r:id="rId20" xr:uid="{7EF5D54D-B802-4697-BC01-A49306B91237}"/>
    <hyperlink ref="N76" r:id="rId21" xr:uid="{B9F83E74-F83A-4D20-A48F-7CD5AE4D6F05}"/>
    <hyperlink ref="N87" r:id="rId22" xr:uid="{1EDA838B-F882-46B7-9C15-38DBEC7B2307}"/>
    <hyperlink ref="N193" r:id="rId23" xr:uid="{7F17E6E1-5292-43F6-BDC7-26A9B6876117}"/>
    <hyperlink ref="N311" r:id="rId24" xr:uid="{2853EC74-CD2B-4C37-B801-0033A2B7B636}"/>
    <hyperlink ref="N72" r:id="rId25" xr:uid="{E2DED915-A8BF-450B-A218-9CA31BF5667D}"/>
    <hyperlink ref="N170" r:id="rId26" xr:uid="{4DCC562B-BB7D-4411-A91C-C071E3BD5DF1}"/>
    <hyperlink ref="N308" r:id="rId27" xr:uid="{7D402E59-300D-4E14-8CDF-AA0887E0B736}"/>
    <hyperlink ref="N321" r:id="rId28" xr:uid="{4F8B1D11-A364-4384-A12B-9D24855251A6}"/>
    <hyperlink ref="N303" r:id="rId29" xr:uid="{AF544B09-2B99-432C-8D91-46A5D6ABBFBC}"/>
    <hyperlink ref="N255" r:id="rId30" xr:uid="{F4252D4C-02C1-4037-9FD0-53A109B9A4BB}"/>
    <hyperlink ref="N277" r:id="rId31" xr:uid="{A07F7F7C-8484-4173-879E-6578AC5DCAA1}"/>
    <hyperlink ref="N117" r:id="rId32" xr:uid="{8C16428C-F969-438A-ACB6-FF5802E76A27}"/>
    <hyperlink ref="N326" r:id="rId33" xr:uid="{B23FFB46-96A4-44B8-A873-194977AF38E1}"/>
    <hyperlink ref="N299" r:id="rId34" xr:uid="{7C7EF2CD-A237-45EF-9BB1-721D7FE56EFF}"/>
    <hyperlink ref="N278" r:id="rId35" xr:uid="{9A9193AC-AD36-4BFF-887D-D48396989EC9}"/>
    <hyperlink ref="N325" r:id="rId36" xr:uid="{AA34D71E-E691-40A4-8B92-4297D3E2E234}"/>
    <hyperlink ref="N102" r:id="rId37" xr:uid="{A26AEA33-80BD-4937-A7EC-34DF606C2B34}"/>
    <hyperlink ref="N258" r:id="rId38" xr:uid="{30CEAC17-FD8E-437D-BEC9-C20103FE45DC}"/>
    <hyperlink ref="N283" r:id="rId39" display="mailto:kiki.tipunch@wanadoo.fr" xr:uid="{25E5DD4D-BA63-4D1E-97C6-86DE3F76A3A4}"/>
    <hyperlink ref="N269" r:id="rId40" xr:uid="{262A1383-A07A-498A-B4BD-837DE97F2BCD}"/>
    <hyperlink ref="N166" r:id="rId41" xr:uid="{BA6F405A-CA2A-40CD-AA02-32C2A83B9F4A}"/>
    <hyperlink ref="N174" r:id="rId42" xr:uid="{8F43ABD6-0FFA-49AA-A95C-4042D0A6BB7D}"/>
    <hyperlink ref="N273" r:id="rId43" xr:uid="{5AD383DE-04A3-4ABE-BF6B-239A67C006E7}"/>
    <hyperlink ref="N268" r:id="rId44" display="duchenenicola@yahoo.fr " xr:uid="{66760B98-125C-4FCB-B5B9-2A01ECC4DF4A}"/>
    <hyperlink ref="N343" r:id="rId45" xr:uid="{19C129F2-BF0A-4E9E-AEB6-62AFB31BCA4A}"/>
    <hyperlink ref="N190" r:id="rId46" xr:uid="{C2D06D2B-753A-4342-932F-3473F41CCCF6}"/>
    <hyperlink ref="N264" r:id="rId47" xr:uid="{DF1F6B38-444C-481A-A7CD-07128D65C953}"/>
    <hyperlink ref="N86" r:id="rId48" xr:uid="{02250F4D-2532-46BB-A024-7C5C29B1BB5A}"/>
    <hyperlink ref="N350" r:id="rId49" xr:uid="{C8A9DE37-5433-4522-BD7F-1693E4EA343B}"/>
    <hyperlink ref="N312" r:id="rId50" xr:uid="{43AC45EA-4F94-4288-B2DC-0F1E6349759B}"/>
    <hyperlink ref="N218" r:id="rId51" xr:uid="{F62CC020-5951-49F5-9869-016B3D117974}"/>
    <hyperlink ref="N342" r:id="rId52" xr:uid="{DC8A9C87-E4DE-46A4-AEA9-0EB05FE70F0B}"/>
    <hyperlink ref="N52" r:id="rId53" xr:uid="{829C1E1E-0E53-4DED-8B89-BD0AE5C9298F}"/>
    <hyperlink ref="N279" r:id="rId54" xr:uid="{842395B3-8949-476D-9EAC-C071019CAC28}"/>
    <hyperlink ref="N247" r:id="rId55" xr:uid="{E191F4AC-9066-4A7A-9BD7-352791038897}"/>
    <hyperlink ref="N66" r:id="rId56" xr:uid="{E3B1F9C3-CAA3-47C7-946D-97D204BCFD41}"/>
    <hyperlink ref="N147" r:id="rId57" xr:uid="{DEDE3609-0A06-42F3-9AFA-5E8EEDEACB10}"/>
    <hyperlink ref="N276" r:id="rId58" xr:uid="{53F7A91C-63E4-4309-8A1A-ADD44159FD31}"/>
    <hyperlink ref="N30" r:id="rId59" xr:uid="{E61366B7-DA39-4A49-A5BA-A0C8600A1FE6}"/>
    <hyperlink ref="N338" r:id="rId60" xr:uid="{876D390A-BBF6-4AF7-BACA-F044BA6158DA}"/>
    <hyperlink ref="N306" r:id="rId61" xr:uid="{442E371D-739B-4D37-89FB-0FFFD9C2F1FF}"/>
    <hyperlink ref="N288" r:id="rId62" xr:uid="{C49BDC1E-A674-4FA4-A4FF-5327E3923060}"/>
    <hyperlink ref="N175" r:id="rId63" xr:uid="{E5634407-49F8-4FBA-A988-6E15423DFCFA}"/>
    <hyperlink ref="N547" r:id="rId64" display="erwanhubert@free.fr" xr:uid="{E755B1EB-E74A-4723-8F48-C58B385B0CF3}"/>
    <hyperlink ref="N62" r:id="rId65" xr:uid="{0B2DB300-2063-4FB0-9AEF-2B4928C161E4}"/>
    <hyperlink ref="N183" r:id="rId66" xr:uid="{AD135D15-843A-4C78-82DD-79F333F8EA76}"/>
    <hyperlink ref="N214" r:id="rId67" xr:uid="{8933CCCF-D992-4058-B632-F4559A7D7D68}"/>
    <hyperlink ref="N194" r:id="rId68" xr:uid="{33741FC8-EC55-40CC-912E-CC0252FDC5B3}"/>
    <hyperlink ref="N122" r:id="rId69" xr:uid="{8F721198-5B2E-4EBC-91F5-9EEC7A239C3C}"/>
    <hyperlink ref="N341" r:id="rId70" xr:uid="{28FC90A9-3500-405E-97DF-4DD4A4BB52B6}"/>
    <hyperlink ref="N45" r:id="rId71" xr:uid="{2358368D-ACA2-4A31-8B2D-E01E175D84B1}"/>
    <hyperlink ref="N320" r:id="rId72" xr:uid="{F8D7E89F-36C0-46C8-A8F8-2A5D084A4130}"/>
    <hyperlink ref="N91" r:id="rId73" xr:uid="{6A751FCD-3DFB-4DE6-ADBA-CC6C43704EC7}"/>
    <hyperlink ref="N114" r:id="rId74" xr:uid="{D2985EA3-7904-490B-A64E-46CF751036E6}"/>
    <hyperlink ref="N211" r:id="rId75" xr:uid="{0B88EA0C-920B-4F38-8A50-E47D013AA87F}"/>
    <hyperlink ref="N189" r:id="rId76" xr:uid="{37CDF8F0-C65D-44C5-B352-3EEEFA53E98E}"/>
    <hyperlink ref="N286" r:id="rId77" xr:uid="{6A1ADC42-3262-4BC2-A7A1-8A292B90AC02}"/>
    <hyperlink ref="N583" r:id="rId78" display="erwanhubert@free.fr" xr:uid="{217C8CDA-C19F-442E-A3D4-23395755C481}"/>
    <hyperlink ref="N99" r:id="rId79" xr:uid="{7C6C58BD-ABDD-40EA-A11C-D06232998822}"/>
    <hyperlink ref="N70" r:id="rId80" xr:uid="{04D4FE6D-D6D6-4AD4-95DF-10F911E3AEA9}"/>
    <hyperlink ref="N32" r:id="rId81" xr:uid="{2829FC21-C193-43D0-BFE6-8A5800E1B509}"/>
    <hyperlink ref="N225" r:id="rId82" xr:uid="{E04ADBD3-CC0B-40B7-B1D6-C525CF02477F}"/>
    <hyperlink ref="N226" r:id="rId83" xr:uid="{EBCEFC81-DFC4-4D88-847C-ADB022DE690E}"/>
    <hyperlink ref="N265" r:id="rId84" xr:uid="{A78A00FF-BE9B-4657-910A-B2082D0C43B7}"/>
    <hyperlink ref="N248" r:id="rId85" xr:uid="{E2DF47A1-019E-4D75-96CD-CDFC667383FB}"/>
    <hyperlink ref="N267" r:id="rId86" xr:uid="{4CBAE5FB-28F6-44E4-8469-E79856F61FC6}"/>
    <hyperlink ref="N96" r:id="rId87" xr:uid="{1862A295-7C33-4822-B706-23C5B56F4678}"/>
    <hyperlink ref="N205" r:id="rId88" xr:uid="{2E2BD189-6BE6-42EA-8BA5-2E2E012C0EE3}"/>
    <hyperlink ref="N345" r:id="rId89" xr:uid="{3EDD2E04-3015-4547-AD54-AB6B4188A85D}"/>
    <hyperlink ref="N253" r:id="rId90" xr:uid="{C119F256-3F60-4653-BD24-9BE9B2BCD1FC}"/>
    <hyperlink ref="N330" r:id="rId91" xr:uid="{2B76C7E7-6AC4-4A64-A8D9-B21F0A181E4D}"/>
    <hyperlink ref="N314" r:id="rId92" xr:uid="{BE60D6D6-97D8-4316-B647-6566089B42E5}"/>
    <hyperlink ref="N17" r:id="rId93" xr:uid="{4DDFE40F-CD5F-41B8-8827-FC281FA1ED6A}"/>
    <hyperlink ref="N349" r:id="rId94" xr:uid="{CB835435-4AB9-44D8-AADE-8635A398CADC}"/>
    <hyperlink ref="N60" r:id="rId95" xr:uid="{EF12550B-F8E7-47A8-A0E7-364290BD9191}"/>
    <hyperlink ref="N353" r:id="rId96" xr:uid="{C5487329-C305-4C32-B9CB-CE633C4C26E4}"/>
    <hyperlink ref="N249" r:id="rId97" xr:uid="{E012DA98-30EF-417F-B29E-7A0FD97BC449}"/>
    <hyperlink ref="N192" r:id="rId98" xr:uid="{65E44499-DE02-4F7B-87A0-A5351EADC8CE}"/>
    <hyperlink ref="N621" r:id="rId99" display="erwanhubert@free.fr" xr:uid="{591ED640-FF15-4F41-A496-7C00F4E98001}"/>
    <hyperlink ref="N271" r:id="rId100" xr:uid="{5CE95FB2-4602-44AC-9252-83A6140B1769}"/>
    <hyperlink ref="N24" r:id="rId101" xr:uid="{5391BC75-D3F0-4486-8551-40A72EFC17C5}"/>
    <hyperlink ref="N319" r:id="rId102" xr:uid="{1959FD26-7360-4D94-86E1-B71CD73D1047}"/>
    <hyperlink ref="N7" r:id="rId103" xr:uid="{CE065B18-88E8-4A23-AFBC-E8199537B01B}"/>
    <hyperlink ref="N125" r:id="rId104" xr:uid="{630E2CE2-8584-4216-B50F-2AA1AB26A123}"/>
    <hyperlink ref="N351" r:id="rId105" xr:uid="{5DAD6F41-4222-4DCB-B4E3-4EA35C2BF3E0}"/>
    <hyperlink ref="N332" r:id="rId106" xr:uid="{DC0FF0D6-74C5-457C-A3B0-C9928ED53074}"/>
    <hyperlink ref="N228" r:id="rId107" display="mailto:sandra@rudelwohl-zach.de" xr:uid="{E4110CBA-2023-431E-86B0-F09746F271BD}"/>
    <hyperlink ref="N150" r:id="rId108" xr:uid="{E7BB4543-8A7E-4E21-88E1-54FC71C0435D}"/>
    <hyperlink ref="N26" r:id="rId109" xr:uid="{6713EFA6-213D-4616-B59A-C24287497450}"/>
    <hyperlink ref="N101" r:id="rId110" xr:uid="{F1ECADE4-A6F9-4583-BF04-B74F494139B3}"/>
    <hyperlink ref="N46" r:id="rId111" xr:uid="{3B6A7A77-AFF5-4C34-B5C9-EA2C9DC38E81}"/>
    <hyperlink ref="N304" r:id="rId112" xr:uid="{E1333DE0-44A7-474B-A9DC-FD5567CA1489}"/>
    <hyperlink ref="N256" r:id="rId113" xr:uid="{F94DA4BE-9C6B-456B-9013-C5BAA4CC36E9}"/>
    <hyperlink ref="L469" r:id="rId114" display="tel:+4915115307260" xr:uid="{8169B455-4491-402C-9FB5-38DA055EFADB}"/>
    <hyperlink ref="N129" r:id="rId115" display="mailto:gmmanzi@aol.com" xr:uid="{5F8E9C25-062C-422B-B526-637AF0CAD931}"/>
    <hyperlink ref="N42" r:id="rId116" xr:uid="{C6552B97-BCFF-44FA-BCDA-D67411EB5722}"/>
    <hyperlink ref="N296" r:id="rId117" xr:uid="{43B667FF-605D-4906-A924-42E81CF65E15}"/>
    <hyperlink ref="N64" r:id="rId118" xr:uid="{27BC23C4-B196-4D27-ADEB-D3E24756EC08}"/>
    <hyperlink ref="N469" r:id="rId119" xr:uid="{1AED5FD2-2D29-49F9-B79E-B001A3007B37}"/>
    <hyperlink ref="N212" r:id="rId120" xr:uid="{8007084B-CB8B-4998-A152-0B89EEFBA56E}"/>
    <hyperlink ref="N113" r:id="rId121" xr:uid="{053C0149-2716-4990-B5FB-BD94CC6AEFB5}"/>
    <hyperlink ref="N116" r:id="rId122" xr:uid="{A686A126-7260-432A-B6BA-AC01F52D76D7}"/>
    <hyperlink ref="N177" r:id="rId123" xr:uid="{954DA74D-0BC6-4A44-9A4D-07BD9ADCFE14}"/>
    <hyperlink ref="N141" r:id="rId124" xr:uid="{550037F2-8332-4BE6-B175-12EBD4523DCB}"/>
    <hyperlink ref="N127" r:id="rId125" xr:uid="{17136904-12F8-4A14-A63C-D5A7B35212C5}"/>
    <hyperlink ref="N23" r:id="rId126" xr:uid="{A2EC80D9-112A-4D2A-9AFC-AF591AD9D331}"/>
    <hyperlink ref="N199" r:id="rId127" xr:uid="{CF30F3DB-8BE8-42A7-9375-491004A01CA8}"/>
    <hyperlink ref="N333" r:id="rId128" xr:uid="{48805387-9C82-4C80-A9D6-0C99600F8167}"/>
    <hyperlink ref="N67" r:id="rId129" xr:uid="{2F43BF9F-CBBE-4811-B3AE-9306DC1DB5AA}"/>
    <hyperlink ref="N156" r:id="rId130" xr:uid="{9978AD07-2440-4E20-9D4A-7DB3591F1EDD}"/>
    <hyperlink ref="N100" r:id="rId131" xr:uid="{FFA867F9-0421-4010-A197-7C550BFF6EF5}"/>
    <hyperlink ref="N118" r:id="rId132" xr:uid="{D062B348-B5AD-40E8-B26E-32C0FA1DBA98}"/>
    <hyperlink ref="N27" r:id="rId133" xr:uid="{D20F5367-5618-41E1-A098-063EDD7071F7}"/>
    <hyperlink ref="N41" r:id="rId134" xr:uid="{84CE7547-2BA2-4018-9B0D-B5EAE9D30B8D}"/>
    <hyperlink ref="N73" r:id="rId135" xr:uid="{FE39DE57-ABC5-4C80-BACB-B9B9DA55BA8E}"/>
    <hyperlink ref="N152" r:id="rId136" xr:uid="{8487921F-56D5-4249-B581-F1D812C5C655}"/>
    <hyperlink ref="N322" r:id="rId137" xr:uid="{C00258DB-113B-4C4D-BD73-700C30D29B89}"/>
    <hyperlink ref="N171" r:id="rId138" xr:uid="{9D061CEA-4070-4012-AFA4-30E6274D85DD}"/>
    <hyperlink ref="N280" r:id="rId139" xr:uid="{08E5279D-1EE6-4B89-87BE-CD4C4358DF76}"/>
    <hyperlink ref="N254" r:id="rId140" xr:uid="{334297FA-78B7-4CA9-9633-78C03C855A3C}"/>
    <hyperlink ref="N142" r:id="rId141" xr:uid="{CBF43742-90D5-40F9-87D3-141794EEFC42}"/>
    <hyperlink ref="N49" r:id="rId142" xr:uid="{036C4E75-EC51-44CD-B97E-D0F57901DF47}"/>
    <hyperlink ref="N334" r:id="rId143" xr:uid="{52836B85-E425-4385-9675-1DCE692F3DE5}"/>
    <hyperlink ref="N149" r:id="rId144" xr:uid="{66CC635E-EF79-4B92-8C35-7067C6877B0F}"/>
    <hyperlink ref="N348" r:id="rId145" xr:uid="{20338A88-75C4-4D0F-B2A0-C9DF44D8D704}"/>
    <hyperlink ref="N207" r:id="rId146" xr:uid="{6CC8F637-C78E-4B74-B151-A179496C87DD}"/>
    <hyperlink ref="N75" r:id="rId147" xr:uid="{9A2F6A96-9F8A-4D41-A31C-0DE8FD6EB07C}"/>
    <hyperlink ref="N29" r:id="rId148" xr:uid="{E7EB64C2-C380-402F-9607-ED2CEBB3B633}"/>
    <hyperlink ref="N187" r:id="rId149" xr:uid="{86926DC6-644C-44A1-8367-DD62DAED0097}"/>
    <hyperlink ref="N182" r:id="rId150" xr:uid="{AC09349A-DB1E-41DE-A13B-F6D2E119CCF5}"/>
    <hyperlink ref="N34" r:id="rId151" xr:uid="{DF579F28-719D-4A8E-872C-A54C5DE5987D}"/>
    <hyperlink ref="N230" r:id="rId152" xr:uid="{65F58ADA-E1FC-4330-8A34-683C827FD145}"/>
    <hyperlink ref="N74" r:id="rId153" xr:uid="{F2B8C4E6-DE97-4A5E-94BB-BF18383260EA}"/>
    <hyperlink ref="N176" r:id="rId154" xr:uid="{CB91436F-41B4-4AFC-87C2-595B1F397BF0}"/>
    <hyperlink ref="N95" r:id="rId155" xr:uid="{4FBC8894-ADC2-4063-A2D0-95E4CE9F4487}"/>
    <hyperlink ref="N143" r:id="rId156" xr:uid="{43EA380B-0E7C-457E-90DB-44F0295BD65C}"/>
    <hyperlink ref="N94" r:id="rId157" xr:uid="{D214DD50-36B4-44C5-B773-2ACBCC2F39D1}"/>
    <hyperlink ref="N178" r:id="rId158" xr:uid="{FEF4A14D-944D-43A3-B671-FFEABDC8CF5B}"/>
    <hyperlink ref="N144" r:id="rId159" xr:uid="{20F8E1C4-61F7-4416-99C1-92DFA6297042}"/>
    <hyperlink ref="N236" r:id="rId160" xr:uid="{2C690714-8488-4864-B16F-8D0483DD7268}"/>
    <hyperlink ref="N261" r:id="rId161" xr:uid="{033A2774-FF5B-4AAC-BC73-0FD361865EF0}"/>
    <hyperlink ref="N124" r:id="rId162" xr:uid="{36A7DBAF-0CD3-4317-B984-4EEA9C9E3116}"/>
    <hyperlink ref="N287" r:id="rId163" xr:uid="{FD6F71C0-2AE2-4030-901E-A30DCBFD415F}"/>
    <hyperlink ref="N78" r:id="rId164" xr:uid="{40CBCBF8-949E-453C-ADAF-1C6D2EF55130}"/>
    <hyperlink ref="N55" r:id="rId165" xr:uid="{F6F8BA22-0F66-4511-8906-655E67F6B7EB}"/>
    <hyperlink ref="N104" r:id="rId166" xr:uid="{A33426F9-27EC-48F6-9462-4CA8E7BCBE3F}"/>
    <hyperlink ref="N120" r:id="rId167" xr:uid="{A742F68C-55F7-4E9B-8058-0FDE068B9F43}"/>
    <hyperlink ref="N106" r:id="rId168" xr:uid="{603BF2CD-73D2-4CE4-97F5-711635C376FA}"/>
    <hyperlink ref="N37" r:id="rId169" xr:uid="{D43CD192-0301-4765-B0A3-72F60A88EE3A}"/>
    <hyperlink ref="N123" r:id="rId170" xr:uid="{F70F19B1-C480-4AFE-8F7B-D4D4A73E713A}"/>
    <hyperlink ref="N327" r:id="rId171" xr:uid="{515F2E7A-F63D-4617-B6F2-0579650DCD25}"/>
    <hyperlink ref="N10" r:id="rId172" xr:uid="{05FC8EED-4D8E-4680-8445-801E8D3868D6}"/>
    <hyperlink ref="N136" r:id="rId173" xr:uid="{B5E32E88-BE91-4BFF-B39C-2951704CF225}"/>
    <hyperlink ref="N165" r:id="rId174" xr:uid="{55AF5BA2-666F-442A-A858-5881700BB026}"/>
    <hyperlink ref="N56" r:id="rId175" xr:uid="{0FEE80EA-829B-4520-A40B-F2A7CEC0B266}"/>
    <hyperlink ref="N179" r:id="rId176" xr:uid="{D3EB26BD-61D1-4F33-AD80-AB1999A85CA5}"/>
    <hyperlink ref="N297" r:id="rId177" xr:uid="{899E67CA-AFF0-4896-BCAA-76DBABFA8E15}"/>
    <hyperlink ref="N222" r:id="rId178" xr:uid="{3757E4D2-4583-4907-A587-4D48B77E173E}"/>
    <hyperlink ref="N201" r:id="rId179" xr:uid="{CC628BB0-1770-4931-8827-5952EE0C4C7A}"/>
    <hyperlink ref="N167" r:id="rId180" xr:uid="{C3DC9DE3-47C0-4C2E-BADB-30600A7F6B10}"/>
    <hyperlink ref="N196" r:id="rId181" xr:uid="{53BC2C10-1A50-46FB-96B5-BB937E2A9D69}"/>
    <hyperlink ref="N223" r:id="rId182" xr:uid="{33606ADE-E5F3-4E17-AB17-0E06959DE79D}"/>
    <hyperlink ref="N202" r:id="rId183" display="mailto:ursstirnemann@bluewin.ch" xr:uid="{9ED063BD-2160-49B0-9315-C14502049DD8}"/>
    <hyperlink ref="N65" r:id="rId184" xr:uid="{252A15B0-2EA9-41DE-957A-C2A1D9D00A76}"/>
    <hyperlink ref="N318" r:id="rId185" xr:uid="{CA319A6C-6BBF-40E8-9BD5-4DDDCF152C6F}"/>
    <hyperlink ref="N160" r:id="rId186" xr:uid="{0AF3BE29-2CAA-4CB7-94ED-4854277ABD61}"/>
    <hyperlink ref="N6" r:id="rId187" xr:uid="{56606529-AC27-4ED4-819E-E5407AE9E3F1}"/>
    <hyperlink ref="N220" r:id="rId188" display="mailto:auftrittebert@aol.com" xr:uid="{0F4C537C-0949-4BD5-BA9E-FF10DCCD7014}"/>
    <hyperlink ref="N209" r:id="rId189" xr:uid="{DA3D745E-EF9F-43E7-AEF2-8846CFA93DDB}"/>
    <hyperlink ref="N216" r:id="rId190" xr:uid="{F3210E10-0F62-4D3D-A54F-4BD9B6DA84FF}"/>
    <hyperlink ref="N227" r:id="rId191" display="mailto:sandra@rudelwohl-zach.de" xr:uid="{E8FDC188-3F08-47E4-B65D-E945CD45DAB5}"/>
    <hyperlink ref="N82" r:id="rId192" xr:uid="{9F0B3C92-3007-414E-9E09-2AFD794D4D8F}"/>
    <hyperlink ref="N309" r:id="rId193" xr:uid="{ED450152-F795-41FA-9F0B-8CA9D62389CF}"/>
    <hyperlink ref="N33" r:id="rId194" xr:uid="{BC8A56CE-B550-4E71-B499-6A1D60F436AD}"/>
    <hyperlink ref="N188" r:id="rId195" xr:uid="{39BD516A-247F-4D12-B3B3-C49A70DA8F3E}"/>
    <hyperlink ref="N40" r:id="rId196" xr:uid="{10D13182-58D9-4382-976E-1DDD0FC1C45C}"/>
    <hyperlink ref="N596" r:id="rId197" xr:uid="{FF8826C5-A60B-4F6C-9BB8-5B9CA1B9CB2B}"/>
    <hyperlink ref="N5" r:id="rId198" display="mailto:gmmanzi@aol.com" xr:uid="{3CA91855-DFFB-4C32-BC2B-93F0DBA5EB71}"/>
    <hyperlink ref="N347" r:id="rId199" xr:uid="{DCAB208A-0995-48B7-BF8D-7C60ACE264C1}"/>
    <hyperlink ref="N233" r:id="rId200" xr:uid="{2CD9FBB4-8ACE-4170-BF49-AEBB65E8CE2A}"/>
    <hyperlink ref="N246" r:id="rId201" xr:uid="{06238C6F-C6AD-48ED-84DF-6014FDA975B5}"/>
    <hyperlink ref="N331" r:id="rId202" xr:uid="{07622EFB-20C9-4CDA-9CB6-77A7D35857F9}"/>
    <hyperlink ref="N132" r:id="rId203" xr:uid="{547BDBF2-5A0E-4DCA-B313-67E2A143981A}"/>
    <hyperlink ref="N22" r:id="rId204" xr:uid="{95139882-64CF-430D-B530-C3BDEEEFABCC}"/>
    <hyperlink ref="N257" r:id="rId205" xr:uid="{66B47F94-06B4-4432-A024-5E190E3C09B2}"/>
    <hyperlink ref="N597" r:id="rId206" xr:uid="{024CD4AE-86EE-421E-ADA4-DC7390CDC819}"/>
    <hyperlink ref="N83" r:id="rId207" xr:uid="{3F43D202-0D5F-4780-9FBD-9F3617BFBD59}"/>
    <hyperlink ref="N275" r:id="rId208" xr:uid="{22349E8D-FF03-4649-9E70-F3723A44C9C3}"/>
    <hyperlink ref="N133" r:id="rId209" xr:uid="{57949EF6-918E-4665-9AE2-6DD476A76C1A}"/>
    <hyperlink ref="N274" r:id="rId210" xr:uid="{EDF665BD-98B4-4681-9B50-D740DC7E6E1C}"/>
    <hyperlink ref="N316" r:id="rId211" xr:uid="{CEB6F85F-2053-4C36-B5F8-C0612CF4CE1B}"/>
    <hyperlink ref="N57" r:id="rId212" xr:uid="{073673A8-3BB2-4ADF-BCF0-E0579141AED5}"/>
    <hyperlink ref="N16" r:id="rId213" xr:uid="{C8822CAC-6A3C-4AE4-9A3F-1DEE01EA000F}"/>
    <hyperlink ref="N12" r:id="rId214" xr:uid="{3F99D228-6962-489B-91F6-2CB3309D7659}"/>
    <hyperlink ref="N154" r:id="rId215" xr:uid="{8437F9D8-8D55-4E96-9F1C-709DB2E22993}"/>
    <hyperlink ref="N315" r:id="rId216" xr:uid="{4B7231C9-6D9C-4EF5-AD7F-27C400C7FA23}"/>
    <hyperlink ref="N180" r:id="rId217" xr:uid="{34E919A9-DC61-46E5-9D3D-3B7EA86AAB45}"/>
    <hyperlink ref="N145" r:id="rId218" xr:uid="{4DC9D26B-5378-4899-B898-023137B415F0}"/>
    <hyperlink ref="N213" r:id="rId219" xr:uid="{AE2342F6-F272-4AC9-96D4-516EAF2031F2}"/>
    <hyperlink ref="N107" r:id="rId220" xr:uid="{43788B6B-348D-49B3-99C8-333E598F9E33}"/>
    <hyperlink ref="N200" r:id="rId221" xr:uid="{6F3B3C0F-313F-4969-A34C-7BDBAC1405B3}"/>
    <hyperlink ref="N77" r:id="rId222" xr:uid="{AD5DEEAC-677E-4117-8405-E5E98099640F}"/>
    <hyperlink ref="N51" r:id="rId223" xr:uid="{A9FFE0C3-5AA2-465A-BA50-EF5C0A539F58}"/>
    <hyperlink ref="N219" r:id="rId224" xr:uid="{1235FDAC-BF16-4E3C-8BE1-BDBCD1108A60}"/>
    <hyperlink ref="N108" r:id="rId225" xr:uid="{0F4F690D-B0B6-40B3-BF98-E3E7BF237C1A}"/>
    <hyperlink ref="N19" r:id="rId226" xr:uid="{95A21646-60A3-4AC0-838A-D1A46D417BAC}"/>
    <hyperlink ref="N131" r:id="rId227" xr:uid="{9C9792B6-3687-41D0-91EE-321812BA628F}"/>
    <hyperlink ref="N85" r:id="rId228" xr:uid="{1574F2E6-1E1F-448B-92B8-61970E436EDD}"/>
    <hyperlink ref="N221" r:id="rId229" display="mailto:auftrittebert@aol.com" xr:uid="{5AA7EF88-1310-49B0-97CC-08A8FF3F3FCB}"/>
    <hyperlink ref="N13" r:id="rId230" xr:uid="{3ED98E65-12B9-4DD7-A440-747A962E2D4E}"/>
    <hyperlink ref="N224" r:id="rId231" xr:uid="{AB6CAA70-33B4-4C39-A32D-F4DF2E0C0009}"/>
    <hyperlink ref="N340" r:id="rId232" xr:uid="{5CF5D933-A041-4B0F-9F55-1D4D27FBCBE2}"/>
    <hyperlink ref="N158" r:id="rId233" xr:uid="{3FCF519F-3F89-4B82-A5AB-0666EDB66BEC}"/>
    <hyperlink ref="N61" r:id="rId234" xr:uid="{F5171DB6-97E5-4652-9223-210DCD72665C}"/>
    <hyperlink ref="N270" r:id="rId235" xr:uid="{A652166A-18DF-47FF-94E5-4A52F7163A8C}"/>
    <hyperlink ref="N198" r:id="rId236" xr:uid="{3349AE31-963E-4D83-8D34-3EDCEAD854B2}"/>
    <hyperlink ref="N25" r:id="rId237" xr:uid="{2DEBB391-DD28-4D55-8739-EBC15D09F8E5}"/>
    <hyperlink ref="N71" r:id="rId238" xr:uid="{1DB18727-7F0C-4741-AED8-437374DE57EC}"/>
    <hyperlink ref="N126" r:id="rId239" xr:uid="{F622FC80-0A3E-4B90-AA5B-E93FFC015395}"/>
    <hyperlink ref="N63" r:id="rId240" xr:uid="{8E8CADB9-651E-4D3D-B6E2-31C71D1B62AC}"/>
    <hyperlink ref="N121" r:id="rId241" xr:uid="{AE0D84F8-2CD5-4815-B531-3EF24982506A}"/>
    <hyperlink ref="N137" r:id="rId242" xr:uid="{12285E04-F69B-4D0E-B646-681907BCDE08}"/>
    <hyperlink ref="N14" r:id="rId243" xr:uid="{8DF68E8C-1132-443B-A923-6041B067727B}"/>
    <hyperlink ref="N39" r:id="rId244" xr:uid="{8C4C1381-5C9C-4CF9-9242-5A9B6FE8B305}"/>
    <hyperlink ref="N146" r:id="rId245" xr:uid="{5DBBBCD2-CD26-407A-BA88-A10E1C2D2E42}"/>
    <hyperlink ref="N58" r:id="rId246" xr:uid="{3707A7D9-7392-4A69-9EA6-606E24F0D4A6}"/>
    <hyperlink ref="N210" r:id="rId247" xr:uid="{8CBFE79D-18E3-4415-981F-DE4F5D0488AB}"/>
    <hyperlink ref="N208" r:id="rId248" xr:uid="{FDD58727-BCC1-4B6F-AF13-2F494BA0E7B9}"/>
    <hyperlink ref="N232" r:id="rId249" xr:uid="{2D7BC73C-4FD8-454B-900D-D372F959B7D6}"/>
    <hyperlink ref="N18" r:id="rId250" xr:uid="{19C0D68F-A1F7-4AB7-B9F7-6B148BECCDF0}"/>
    <hyperlink ref="N139" r:id="rId251" xr:uid="{3038ACCD-2FF6-4995-B661-B0F1BF05D90B}"/>
    <hyperlink ref="N15" r:id="rId252" xr:uid="{0208653E-F5AF-4ED1-B19E-07CD0131F284}"/>
    <hyperlink ref="N206" r:id="rId253" xr:uid="{38358004-3763-4925-9701-C560BC51D7EA}"/>
    <hyperlink ref="N38" r:id="rId254" xr:uid="{80A6282E-B5D0-4A2D-8812-7C0C4A706F72}"/>
    <hyperlink ref="N109" r:id="rId255" xr:uid="{D8DD4D9A-3083-411A-B53D-29747DD0308C}"/>
    <hyperlink ref="N28" r:id="rId256" xr:uid="{86A2FF57-F2FD-41C1-B23C-C77FE214BAF9}"/>
    <hyperlink ref="N79" r:id="rId257" xr:uid="{DA224EF7-3C0F-408B-8EB7-DA0A539BE023}"/>
    <hyperlink ref="N59" r:id="rId258" xr:uid="{9F0702E5-44B8-40A4-BF03-14D72B3DEC56}"/>
    <hyperlink ref="N105" r:id="rId259" xr:uid="{CDBA0BA3-15A4-4620-92C8-D56D172C8552}"/>
    <hyperlink ref="N97" r:id="rId260" xr:uid="{485071E3-C784-4571-8ECD-804FCCA6F775}"/>
    <hyperlink ref="L687" r:id="rId261" display="mailto:c.laudi@ib-laudi.de?subject=Ihre%20Anfrage%20auf%20hunde-urlaub.net" xr:uid="{4EF7E873-291F-4BC3-97E0-39E15809AF5B}"/>
    <hyperlink ref="N89" r:id="rId262" xr:uid="{C6EF7343-BA29-4DA0-9CFD-BDABEE75D3F8}"/>
    <hyperlink ref="N400" r:id="rId263" xr:uid="{D3AE56AD-A836-4E0B-9ABF-6E9EBF1DA9AC}"/>
    <hyperlink ref="N284" r:id="rId264" xr:uid="{C3670E50-2088-4107-8CA6-31B90AEDBE1B}"/>
    <hyperlink ref="N398" r:id="rId265" xr:uid="{49F372EA-0EC7-4D86-BCA5-6C3E6AEE90B6}"/>
    <hyperlink ref="N231" r:id="rId266" xr:uid="{633C49E0-AF87-4C1C-A8F6-DBD9D707FC02}"/>
    <hyperlink ref="N103" r:id="rId267" xr:uid="{E1B737CD-DD9D-4418-B2DB-666EE68F5A9A}"/>
    <hyperlink ref="N313" r:id="rId268" xr:uid="{3A192E60-CB34-41E0-9B4B-ABB8EF772A19}"/>
    <hyperlink ref="N239" r:id="rId269" xr:uid="{BA3E438E-06AD-4EC5-BE67-EBB27A499829}"/>
    <hyperlink ref="N69" r:id="rId270" xr:uid="{C41849D6-A10D-4062-A9B7-C327C7742612}"/>
    <hyperlink ref="N93" r:id="rId271" xr:uid="{FE87E200-05F7-4DC5-B4C1-8C283AE1B99D}"/>
    <hyperlink ref="N11" r:id="rId272" xr:uid="{BE71A5E4-2B42-43A0-AFD6-1915CCB832C3}"/>
    <hyperlink ref="N138" r:id="rId273" xr:uid="{6D68D30F-7B65-44E1-9D80-4ECD5724D8A1}"/>
    <hyperlink ref="N203" r:id="rId274" xr:uid="{32214A42-7B74-4DE6-80E8-2C7BB56644C9}"/>
    <hyperlink ref="N112" r:id="rId275" xr:uid="{D1E229B9-D4DB-4589-A6B5-3D482D4AAE8E}"/>
    <hyperlink ref="N197" r:id="rId276" xr:uid="{3F45BEBC-BAE4-42B1-A635-49CF75704264}"/>
    <hyperlink ref="N50" r:id="rId277" xr:uid="{A37FCBE5-6D6D-4730-A876-EEE570A2BCC5}"/>
    <hyperlink ref="N80" r:id="rId278" xr:uid="{32C1346D-AFDC-445E-A303-271E68CD20E5}"/>
    <hyperlink ref="N155" r:id="rId279" xr:uid="{80ABC04A-BE17-4504-ABA4-093CB4A61B8E}"/>
    <hyperlink ref="N88" r:id="rId280" xr:uid="{A269404E-AC97-4C7C-B21A-2333DF4797B1}"/>
    <hyperlink ref="N186" r:id="rId281" xr:uid="{7B373A11-1F05-4AAE-8EF1-0DE199056DEC}"/>
    <hyperlink ref="N229" r:id="rId282" xr:uid="{313C843C-F642-4CB3-93F1-99E83A57571A}"/>
    <hyperlink ref="N204" r:id="rId283" xr:uid="{33E17269-6588-46D0-812F-F58DF179221F}"/>
    <hyperlink ref="N110" r:id="rId284" xr:uid="{B69AC1C8-85FD-454B-B6CA-B2CEA5BFD221}"/>
    <hyperlink ref="N172" r:id="rId285" display="mailto:christian.sallmann@lancom.de" xr:uid="{F3FBEB4D-4FAB-4518-9FFE-AFBE9422C60C}"/>
    <hyperlink ref="N115" r:id="rId286" xr:uid="{2012F4BA-E139-47C2-9DEA-D4951166A73F}"/>
    <hyperlink ref="N168" r:id="rId287" xr:uid="{FE4B69A3-AD9F-4493-8C1A-43F7699B3B16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F1EC0-06A7-40D6-B180-731FA19D45A9}">
  <dimension ref="A1:B47"/>
  <sheetViews>
    <sheetView zoomScaleNormal="100" workbookViewId="0">
      <selection activeCell="B43" sqref="A1:B44"/>
    </sheetView>
  </sheetViews>
  <sheetFormatPr baseColWidth="10" defaultRowHeight="13.2"/>
  <cols>
    <col min="1" max="1" width="43.33203125" customWidth="1"/>
    <col min="2" max="2" width="19.6640625" bestFit="1" customWidth="1"/>
  </cols>
  <sheetData>
    <row r="1" spans="1:2">
      <c r="A1" s="1529" t="s">
        <v>68</v>
      </c>
      <c r="B1" s="1529" t="s">
        <v>3693</v>
      </c>
    </row>
    <row r="2" spans="1:2" ht="14.4" customHeight="1">
      <c r="A2" s="1527" t="s">
        <v>3695</v>
      </c>
      <c r="B2" s="1528">
        <v>1290</v>
      </c>
    </row>
    <row r="3" spans="1:2" ht="5.4" customHeight="1">
      <c r="A3" s="2194" t="s">
        <v>3694</v>
      </c>
      <c r="B3" s="2195">
        <v>1290</v>
      </c>
    </row>
    <row r="4" spans="1:2" ht="9.6" customHeight="1">
      <c r="A4" s="2194"/>
      <c r="B4" s="2195"/>
    </row>
    <row r="5" spans="1:2" ht="4.2" customHeight="1">
      <c r="A5" s="2194"/>
      <c r="B5" s="2195"/>
    </row>
    <row r="6" spans="1:2" ht="15.6" customHeight="1">
      <c r="A6" s="1531" t="s">
        <v>3692</v>
      </c>
      <c r="B6" s="1530">
        <v>1090</v>
      </c>
    </row>
    <row r="7" spans="1:2" ht="15.6" customHeight="1">
      <c r="A7" s="1527" t="s">
        <v>3672</v>
      </c>
      <c r="B7" s="1528">
        <v>1090</v>
      </c>
    </row>
    <row r="8" spans="1:2" ht="15.6" customHeight="1">
      <c r="A8" s="1527" t="s">
        <v>3673</v>
      </c>
      <c r="B8" s="1528">
        <v>1090</v>
      </c>
    </row>
    <row r="9" spans="1:2" ht="15.6" customHeight="1">
      <c r="A9" s="1527" t="s">
        <v>3674</v>
      </c>
      <c r="B9" s="1528">
        <v>1090</v>
      </c>
    </row>
    <row r="10" spans="1:2" ht="9" customHeight="1">
      <c r="A10" s="2194" t="s">
        <v>3675</v>
      </c>
      <c r="B10" s="2195">
        <v>1090</v>
      </c>
    </row>
    <row r="11" spans="1:2" ht="9" customHeight="1">
      <c r="A11" s="2194"/>
      <c r="B11" s="2195"/>
    </row>
    <row r="12" spans="1:2" ht="9" customHeight="1">
      <c r="A12" s="1527" t="s">
        <v>3676</v>
      </c>
      <c r="B12" s="1528">
        <v>1090</v>
      </c>
    </row>
    <row r="13" spans="1:2" ht="9" customHeight="1">
      <c r="A13" s="2194" t="s">
        <v>3677</v>
      </c>
      <c r="B13" s="2195">
        <v>1090</v>
      </c>
    </row>
    <row r="14" spans="1:2" ht="9" customHeight="1">
      <c r="A14" s="2194"/>
      <c r="B14" s="2195"/>
    </row>
    <row r="15" spans="1:2" ht="9" customHeight="1">
      <c r="A15" s="2196" t="s">
        <v>3678</v>
      </c>
      <c r="B15" s="2198">
        <v>1390</v>
      </c>
    </row>
    <row r="16" spans="1:2" ht="9" customHeight="1">
      <c r="A16" s="2197"/>
      <c r="B16" s="2199"/>
    </row>
    <row r="17" spans="1:2" ht="9" customHeight="1">
      <c r="A17" s="2196" t="s">
        <v>3679</v>
      </c>
      <c r="B17" s="2198">
        <v>1390</v>
      </c>
    </row>
    <row r="18" spans="1:2" ht="9" customHeight="1">
      <c r="A18" s="2197"/>
      <c r="B18" s="2199"/>
    </row>
    <row r="19" spans="1:2" ht="9" customHeight="1">
      <c r="A19" s="2194" t="s">
        <v>3680</v>
      </c>
      <c r="B19" s="2195">
        <v>1090</v>
      </c>
    </row>
    <row r="20" spans="1:2" ht="9" customHeight="1">
      <c r="A20" s="2194"/>
      <c r="B20" s="2195"/>
    </row>
    <row r="21" spans="1:2" ht="9" customHeight="1">
      <c r="A21" s="2194" t="s">
        <v>3681</v>
      </c>
      <c r="B21" s="2195">
        <v>1090</v>
      </c>
    </row>
    <row r="22" spans="1:2" ht="9" customHeight="1">
      <c r="A22" s="2194"/>
      <c r="B22" s="2195"/>
    </row>
    <row r="23" spans="1:2" ht="9" customHeight="1">
      <c r="A23" s="2194" t="s">
        <v>3682</v>
      </c>
      <c r="B23" s="2195">
        <v>1090</v>
      </c>
    </row>
    <row r="24" spans="1:2" ht="9" customHeight="1">
      <c r="A24" s="2194"/>
      <c r="B24" s="2195"/>
    </row>
    <row r="25" spans="1:2" ht="9" customHeight="1">
      <c r="A25" s="2194" t="s">
        <v>3683</v>
      </c>
      <c r="B25" s="2195">
        <v>1090</v>
      </c>
    </row>
    <row r="26" spans="1:2" ht="9" customHeight="1">
      <c r="A26" s="2194"/>
      <c r="B26" s="2195"/>
    </row>
    <row r="27" spans="1:2" ht="9" customHeight="1">
      <c r="A27" s="2194" t="s">
        <v>3684</v>
      </c>
      <c r="B27" s="2195">
        <v>1090</v>
      </c>
    </row>
    <row r="28" spans="1:2" ht="9" customHeight="1">
      <c r="A28" s="2194"/>
      <c r="B28" s="2195"/>
    </row>
    <row r="29" spans="1:2" ht="9" customHeight="1">
      <c r="A29" s="2194" t="s">
        <v>3685</v>
      </c>
      <c r="B29" s="2195">
        <v>1090</v>
      </c>
    </row>
    <row r="30" spans="1:2" ht="9" customHeight="1">
      <c r="A30" s="2194"/>
      <c r="B30" s="2195"/>
    </row>
    <row r="31" spans="1:2" ht="9" customHeight="1">
      <c r="A31" s="2194" t="s">
        <v>3686</v>
      </c>
      <c r="B31" s="2195">
        <v>1290</v>
      </c>
    </row>
    <row r="32" spans="1:2" ht="9" customHeight="1">
      <c r="A32" s="2194"/>
      <c r="B32" s="2195"/>
    </row>
    <row r="33" spans="1:2" ht="9" customHeight="1">
      <c r="A33" s="2194" t="s">
        <v>3687</v>
      </c>
      <c r="B33" s="2195">
        <v>1290</v>
      </c>
    </row>
    <row r="34" spans="1:2" ht="9" customHeight="1">
      <c r="A34" s="2194"/>
      <c r="B34" s="2195"/>
    </row>
    <row r="35" spans="1:2" ht="9" customHeight="1">
      <c r="A35" s="2194" t="s">
        <v>3688</v>
      </c>
      <c r="B35" s="2195">
        <v>1090</v>
      </c>
    </row>
    <row r="36" spans="1:2" ht="9" customHeight="1">
      <c r="A36" s="2194"/>
      <c r="B36" s="2195"/>
    </row>
    <row r="37" spans="1:2" ht="9" customHeight="1">
      <c r="A37" s="2194" t="s">
        <v>3689</v>
      </c>
      <c r="B37" s="2195">
        <v>1090</v>
      </c>
    </row>
    <row r="38" spans="1:2" ht="9" customHeight="1">
      <c r="A38" s="2194"/>
      <c r="B38" s="2195"/>
    </row>
    <row r="39" spans="1:2" ht="9" customHeight="1">
      <c r="A39" s="2194" t="s">
        <v>3690</v>
      </c>
      <c r="B39" s="2195">
        <v>1090</v>
      </c>
    </row>
    <row r="40" spans="1:2" ht="9" customHeight="1">
      <c r="A40" s="2194"/>
      <c r="B40" s="2195"/>
    </row>
    <row r="41" spans="1:2" ht="9" customHeight="1">
      <c r="A41" s="2194" t="s">
        <v>3691</v>
      </c>
      <c r="B41" s="2195">
        <v>1090</v>
      </c>
    </row>
    <row r="42" spans="1:2" ht="9" customHeight="1">
      <c r="A42" s="2194"/>
      <c r="B42" s="2195"/>
    </row>
    <row r="43" spans="1:2" ht="9" customHeight="1">
      <c r="A43" s="2204" t="s">
        <v>3696</v>
      </c>
      <c r="B43" s="2205">
        <f>SUM(B2:B42)</f>
        <v>26470</v>
      </c>
    </row>
    <row r="44" spans="1:2" ht="9" customHeight="1">
      <c r="A44" s="2204"/>
      <c r="B44" s="2205"/>
    </row>
    <row r="45" spans="1:2" ht="26.4" customHeight="1">
      <c r="A45" s="2200"/>
      <c r="B45" s="2202"/>
    </row>
    <row r="46" spans="1:2">
      <c r="A46" s="2201"/>
      <c r="B46" s="2203"/>
    </row>
    <row r="47" spans="1:2">
      <c r="A47" s="1525"/>
      <c r="B47" s="1526"/>
    </row>
  </sheetData>
  <mergeCells count="38">
    <mergeCell ref="A45:A46"/>
    <mergeCell ref="B45:B46"/>
    <mergeCell ref="A3:A5"/>
    <mergeCell ref="B3:B5"/>
    <mergeCell ref="A41:A42"/>
    <mergeCell ref="B41:B42"/>
    <mergeCell ref="A43:A44"/>
    <mergeCell ref="B43:B44"/>
    <mergeCell ref="A37:A38"/>
    <mergeCell ref="B37:B38"/>
    <mergeCell ref="A39:A40"/>
    <mergeCell ref="B39:B40"/>
    <mergeCell ref="A33:A34"/>
    <mergeCell ref="B33:B34"/>
    <mergeCell ref="A35:A36"/>
    <mergeCell ref="B35:B36"/>
    <mergeCell ref="A29:A30"/>
    <mergeCell ref="B29:B30"/>
    <mergeCell ref="A31:A32"/>
    <mergeCell ref="B31:B32"/>
    <mergeCell ref="A25:A26"/>
    <mergeCell ref="B25:B26"/>
    <mergeCell ref="A27:A28"/>
    <mergeCell ref="B27:B28"/>
    <mergeCell ref="A21:A22"/>
    <mergeCell ref="B21:B22"/>
    <mergeCell ref="A23:A24"/>
    <mergeCell ref="B23:B24"/>
    <mergeCell ref="A10:A11"/>
    <mergeCell ref="B10:B11"/>
    <mergeCell ref="A17:A18"/>
    <mergeCell ref="B17:B18"/>
    <mergeCell ref="A19:A20"/>
    <mergeCell ref="B19:B20"/>
    <mergeCell ref="A13:A14"/>
    <mergeCell ref="B13:B14"/>
    <mergeCell ref="B15:B16"/>
    <mergeCell ref="A15:A16"/>
  </mergeCells>
  <pageMargins left="0.7" right="0.7" top="0.75" bottom="0.75" header="0.3" footer="0.3"/>
  <pageSetup paperSize="9" orientation="portrait" r:id="rId1"/>
  <headerFooter>
    <oddHeader>&amp;CGrille tarifaire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430E1-E7CB-4476-A1CD-4DC228BBFC5E}">
  <sheetPr filterMode="1"/>
  <dimension ref="A1:AB734"/>
  <sheetViews>
    <sheetView topLeftCell="Q152" workbookViewId="0">
      <selection activeCell="AB1" sqref="AB1:AB191"/>
    </sheetView>
  </sheetViews>
  <sheetFormatPr baseColWidth="10" defaultColWidth="12.21875" defaultRowHeight="10.199999999999999"/>
  <cols>
    <col min="1" max="2" width="14" style="8" customWidth="1"/>
    <col min="3" max="3" width="11.21875" style="31" customWidth="1"/>
    <col min="4" max="4" width="14.44140625" style="31" bestFit="1" customWidth="1"/>
    <col min="5" max="5" width="20.21875" style="8" customWidth="1"/>
    <col min="6" max="6" width="7.21875" style="8" hidden="1" customWidth="1"/>
    <col min="7" max="7" width="7.21875" style="132" customWidth="1"/>
    <col min="8" max="8" width="16.88671875" style="8" customWidth="1"/>
    <col min="9" max="9" width="8" style="8" customWidth="1"/>
    <col min="10" max="10" width="5.77734375" style="8" customWidth="1"/>
    <col min="11" max="11" width="13.77734375" style="8" customWidth="1"/>
    <col min="12" max="12" width="15.21875" style="8" customWidth="1"/>
    <col min="13" max="13" width="7.44140625" style="8" hidden="1" customWidth="1"/>
    <col min="14" max="14" width="20.109375" style="8" customWidth="1"/>
    <col min="15" max="15" width="19.21875" style="1015" bestFit="1" customWidth="1"/>
    <col min="16" max="16" width="16.33203125" style="8" hidden="1" customWidth="1"/>
    <col min="17" max="17" width="10.33203125" style="8" customWidth="1"/>
    <col min="18" max="18" width="4.77734375" style="685" bestFit="1" customWidth="1"/>
    <col min="19" max="19" width="6.6640625" style="132" customWidth="1"/>
    <col min="20" max="20" width="3.21875" style="132" customWidth="1"/>
    <col min="21" max="21" width="18.33203125" style="8" bestFit="1" customWidth="1"/>
    <col min="22" max="22" width="22.44140625" style="8" bestFit="1" customWidth="1"/>
    <col min="23" max="23" width="12.21875" style="8"/>
    <col min="24" max="24" width="12.44140625" style="8" bestFit="1" customWidth="1"/>
    <col min="25" max="25" width="16.33203125" style="8" bestFit="1" customWidth="1"/>
    <col min="26" max="16384" width="12.21875" style="8"/>
  </cols>
  <sheetData>
    <row r="1" spans="1:28" ht="12" customHeight="1">
      <c r="A1" s="7" t="s">
        <v>0</v>
      </c>
      <c r="B1" s="7" t="s">
        <v>1</v>
      </c>
      <c r="C1" s="29" t="s">
        <v>370</v>
      </c>
      <c r="D1" s="29" t="s">
        <v>371</v>
      </c>
      <c r="E1" s="7" t="s">
        <v>2</v>
      </c>
      <c r="F1" s="7" t="s">
        <v>3</v>
      </c>
      <c r="G1" s="133" t="s">
        <v>4</v>
      </c>
      <c r="H1" s="7" t="s">
        <v>16</v>
      </c>
      <c r="I1" s="7" t="s">
        <v>5</v>
      </c>
      <c r="J1" s="7" t="s">
        <v>6</v>
      </c>
      <c r="K1" s="7" t="s">
        <v>7</v>
      </c>
      <c r="L1" s="7" t="s">
        <v>21</v>
      </c>
      <c r="M1" s="7" t="s">
        <v>8</v>
      </c>
      <c r="N1" s="7" t="s">
        <v>9</v>
      </c>
      <c r="O1" s="1012" t="s">
        <v>418</v>
      </c>
      <c r="P1" s="7" t="s">
        <v>38</v>
      </c>
      <c r="Q1" s="8" t="s">
        <v>67</v>
      </c>
      <c r="R1" s="685" t="s">
        <v>417</v>
      </c>
      <c r="S1" s="133" t="s">
        <v>416</v>
      </c>
      <c r="T1" s="133" t="s">
        <v>105</v>
      </c>
      <c r="U1" s="7" t="s">
        <v>231</v>
      </c>
      <c r="V1" s="8" t="s">
        <v>836</v>
      </c>
      <c r="W1" s="8" t="s">
        <v>835</v>
      </c>
      <c r="X1" s="8" t="s">
        <v>869</v>
      </c>
      <c r="AB1" s="69" t="s">
        <v>683</v>
      </c>
    </row>
    <row r="2" spans="1:28" ht="12" customHeight="1">
      <c r="A2" s="7"/>
      <c r="B2" s="7"/>
      <c r="C2" s="29"/>
      <c r="D2" s="29"/>
      <c r="E2" s="7"/>
      <c r="F2" s="7"/>
      <c r="G2" s="133"/>
      <c r="H2" s="7"/>
      <c r="I2" s="7"/>
      <c r="J2" s="7"/>
      <c r="K2" s="7"/>
      <c r="L2" s="7"/>
      <c r="M2" s="7"/>
      <c r="N2" s="7"/>
      <c r="O2" s="1012"/>
      <c r="P2" s="7"/>
      <c r="S2" s="133"/>
      <c r="T2" s="133"/>
      <c r="U2" s="7"/>
      <c r="AB2" s="128" t="s">
        <v>2475</v>
      </c>
    </row>
    <row r="3" spans="1:28" ht="12" customHeight="1">
      <c r="A3" s="115" t="s">
        <v>2784</v>
      </c>
      <c r="B3" s="115" t="s">
        <v>2785</v>
      </c>
      <c r="C3" s="116">
        <v>44450</v>
      </c>
      <c r="D3" s="116">
        <v>44464</v>
      </c>
      <c r="E3" s="115" t="s">
        <v>2786</v>
      </c>
      <c r="F3" s="115"/>
      <c r="G3" s="361" t="s">
        <v>2787</v>
      </c>
      <c r="H3" s="115" t="s">
        <v>2788</v>
      </c>
      <c r="I3" s="115" t="s">
        <v>18</v>
      </c>
      <c r="J3" s="115" t="s">
        <v>1023</v>
      </c>
      <c r="K3" s="124" t="s">
        <v>2790</v>
      </c>
      <c r="L3" s="115" t="s">
        <v>2789</v>
      </c>
      <c r="M3" s="115"/>
      <c r="N3" s="128" t="s">
        <v>2791</v>
      </c>
      <c r="O3" s="1044">
        <f>1590+1290+70</f>
        <v>2950</v>
      </c>
      <c r="P3" s="115"/>
      <c r="Q3" s="115" t="s">
        <v>2651</v>
      </c>
      <c r="R3" s="682">
        <v>2</v>
      </c>
      <c r="S3" s="361">
        <v>2</v>
      </c>
      <c r="T3" s="361">
        <v>1</v>
      </c>
      <c r="U3" s="921">
        <v>720</v>
      </c>
      <c r="V3" s="115">
        <v>44160</v>
      </c>
      <c r="W3" s="115" t="s">
        <v>1477</v>
      </c>
      <c r="X3" s="115" t="s">
        <v>1154</v>
      </c>
      <c r="Y3" s="115"/>
      <c r="Z3" s="115"/>
      <c r="AB3" s="363" t="s">
        <v>1806</v>
      </c>
    </row>
    <row r="4" spans="1:28" ht="12" customHeight="1">
      <c r="A4" s="1148" t="s">
        <v>2784</v>
      </c>
      <c r="B4" s="1148" t="s">
        <v>2785</v>
      </c>
      <c r="C4" s="1149">
        <v>44807</v>
      </c>
      <c r="D4" s="1149">
        <v>44821</v>
      </c>
      <c r="E4" s="1148" t="s">
        <v>2786</v>
      </c>
      <c r="F4" s="1148"/>
      <c r="G4" s="1150" t="s">
        <v>2787</v>
      </c>
      <c r="H4" s="1148" t="s">
        <v>2788</v>
      </c>
      <c r="I4" s="1148" t="s">
        <v>18</v>
      </c>
      <c r="J4" s="1148" t="s">
        <v>1023</v>
      </c>
      <c r="K4" s="1187" t="s">
        <v>2790</v>
      </c>
      <c r="L4" s="1148" t="s">
        <v>2789</v>
      </c>
      <c r="M4" s="1148"/>
      <c r="N4" s="1151" t="s">
        <v>2791</v>
      </c>
      <c r="O4" s="1188">
        <f>1590+1590</f>
        <v>3180</v>
      </c>
      <c r="P4" s="1148"/>
      <c r="Q4" s="1148" t="s">
        <v>2651</v>
      </c>
      <c r="R4" s="1153">
        <v>2</v>
      </c>
      <c r="S4" s="1150">
        <v>2</v>
      </c>
      <c r="T4" s="1150">
        <v>1</v>
      </c>
      <c r="U4" s="1384">
        <v>795</v>
      </c>
      <c r="V4" s="1148">
        <v>44463</v>
      </c>
      <c r="W4" s="1148" t="s">
        <v>3015</v>
      </c>
      <c r="X4" s="1148" t="s">
        <v>1154</v>
      </c>
      <c r="Y4" s="1148"/>
      <c r="Z4" s="1148"/>
      <c r="AB4" s="128" t="s">
        <v>1690</v>
      </c>
    </row>
    <row r="5" spans="1:28" s="21" customFormat="1" ht="12" hidden="1" customHeight="1">
      <c r="A5" s="95" t="s">
        <v>681</v>
      </c>
      <c r="B5" s="67" t="s">
        <v>682</v>
      </c>
      <c r="C5" s="68">
        <v>40705</v>
      </c>
      <c r="D5" s="68">
        <v>40719</v>
      </c>
      <c r="E5" s="67" t="s">
        <v>678</v>
      </c>
      <c r="F5" s="67"/>
      <c r="G5" s="803" t="s">
        <v>680</v>
      </c>
      <c r="H5" s="67" t="s">
        <v>679</v>
      </c>
      <c r="I5" s="67" t="s">
        <v>18</v>
      </c>
      <c r="J5" s="67" t="s">
        <v>51</v>
      </c>
      <c r="K5" s="67"/>
      <c r="L5" s="67" t="s">
        <v>684</v>
      </c>
      <c r="M5" s="67"/>
      <c r="N5" s="69" t="s">
        <v>683</v>
      </c>
      <c r="O5" s="1023">
        <v>570</v>
      </c>
      <c r="P5" s="67"/>
      <c r="Q5" s="67" t="s">
        <v>752</v>
      </c>
      <c r="R5" s="883">
        <v>0</v>
      </c>
      <c r="S5" s="803">
        <v>6</v>
      </c>
      <c r="T5" s="803">
        <v>2</v>
      </c>
      <c r="U5" s="71">
        <v>570</v>
      </c>
      <c r="V5" s="67"/>
      <c r="W5" s="67"/>
      <c r="X5" s="67"/>
      <c r="Y5" s="67"/>
      <c r="Z5" s="67"/>
      <c r="AB5" s="128" t="s">
        <v>2475</v>
      </c>
    </row>
    <row r="6" spans="1:28" s="21" customFormat="1" ht="12" customHeight="1">
      <c r="A6" s="115" t="s">
        <v>2470</v>
      </c>
      <c r="B6" s="115" t="s">
        <v>2471</v>
      </c>
      <c r="C6" s="116">
        <v>43925</v>
      </c>
      <c r="D6" s="116">
        <v>43939</v>
      </c>
      <c r="E6" s="115" t="s">
        <v>2472</v>
      </c>
      <c r="F6" s="115"/>
      <c r="G6" s="361" t="s">
        <v>2473</v>
      </c>
      <c r="H6" s="115" t="s">
        <v>2474</v>
      </c>
      <c r="I6" s="115" t="s">
        <v>18</v>
      </c>
      <c r="J6" s="115" t="s">
        <v>51</v>
      </c>
      <c r="K6" s="115"/>
      <c r="L6" s="115" t="s">
        <v>2476</v>
      </c>
      <c r="M6" s="115"/>
      <c r="N6" s="128" t="s">
        <v>2475</v>
      </c>
      <c r="O6" s="1027">
        <v>0</v>
      </c>
      <c r="P6" s="115"/>
      <c r="Q6" s="115" t="s">
        <v>2589</v>
      </c>
      <c r="R6" s="682"/>
      <c r="S6" s="361">
        <v>4</v>
      </c>
      <c r="T6" s="361">
        <v>1</v>
      </c>
      <c r="U6" s="119">
        <f>445</f>
        <v>445</v>
      </c>
      <c r="V6" s="120">
        <v>43854</v>
      </c>
      <c r="W6" s="115" t="s">
        <v>1338</v>
      </c>
      <c r="X6" s="115" t="s">
        <v>1154</v>
      </c>
      <c r="Y6" s="115" t="s">
        <v>2550</v>
      </c>
      <c r="Z6" s="115"/>
      <c r="AB6" s="63" t="s">
        <v>760</v>
      </c>
    </row>
    <row r="7" spans="1:28" s="21" customFormat="1" ht="12" customHeight="1">
      <c r="A7" s="115" t="s">
        <v>2470</v>
      </c>
      <c r="B7" s="115" t="s">
        <v>2471</v>
      </c>
      <c r="C7" s="116">
        <v>44660</v>
      </c>
      <c r="D7" s="116">
        <v>43937</v>
      </c>
      <c r="E7" s="115" t="s">
        <v>2472</v>
      </c>
      <c r="F7" s="115"/>
      <c r="G7" s="361" t="s">
        <v>2473</v>
      </c>
      <c r="H7" s="115" t="s">
        <v>2474</v>
      </c>
      <c r="I7" s="115" t="s">
        <v>18</v>
      </c>
      <c r="J7" s="115" t="s">
        <v>51</v>
      </c>
      <c r="K7" s="115"/>
      <c r="L7" s="115" t="s">
        <v>2476</v>
      </c>
      <c r="M7" s="115"/>
      <c r="N7" s="128" t="s">
        <v>2475</v>
      </c>
      <c r="O7" s="1027">
        <f>890/2+70</f>
        <v>515</v>
      </c>
      <c r="P7" s="115"/>
      <c r="Q7" s="115" t="s">
        <v>3187</v>
      </c>
      <c r="R7" s="682">
        <v>1</v>
      </c>
      <c r="S7" s="361">
        <v>4</v>
      </c>
      <c r="T7" s="361">
        <v>1</v>
      </c>
      <c r="U7" s="119">
        <f>445</f>
        <v>445</v>
      </c>
      <c r="V7" s="120">
        <v>43854</v>
      </c>
      <c r="W7" s="115" t="s">
        <v>1338</v>
      </c>
      <c r="X7" s="115" t="s">
        <v>1154</v>
      </c>
      <c r="Y7" s="115" t="s">
        <v>3188</v>
      </c>
      <c r="Z7" s="115"/>
      <c r="AB7" s="874" t="s">
        <v>2423</v>
      </c>
    </row>
    <row r="8" spans="1:28" s="21" customFormat="1" ht="12" customHeight="1">
      <c r="A8" s="115" t="s">
        <v>1799</v>
      </c>
      <c r="B8" s="115" t="s">
        <v>1800</v>
      </c>
      <c r="C8" s="116">
        <v>43274</v>
      </c>
      <c r="D8" s="116">
        <v>43288</v>
      </c>
      <c r="E8" s="115" t="s">
        <v>1801</v>
      </c>
      <c r="F8" s="115"/>
      <c r="G8" s="361" t="s">
        <v>1802</v>
      </c>
      <c r="H8" s="115" t="s">
        <v>1803</v>
      </c>
      <c r="I8" s="115" t="s">
        <v>18</v>
      </c>
      <c r="J8" s="115" t="s">
        <v>51</v>
      </c>
      <c r="K8" s="115" t="s">
        <v>1805</v>
      </c>
      <c r="L8" s="115" t="s">
        <v>1804</v>
      </c>
      <c r="M8" s="115"/>
      <c r="N8" s="363" t="s">
        <v>1806</v>
      </c>
      <c r="O8" s="1027">
        <f>1290+1390</f>
        <v>2680</v>
      </c>
      <c r="P8" s="115"/>
      <c r="Q8" s="115" t="s">
        <v>1807</v>
      </c>
      <c r="R8" s="682">
        <v>2</v>
      </c>
      <c r="S8" s="361">
        <v>4</v>
      </c>
      <c r="T8" s="361">
        <v>2</v>
      </c>
      <c r="U8" s="119"/>
      <c r="V8" s="120">
        <v>42997</v>
      </c>
      <c r="W8" s="115" t="s">
        <v>1651</v>
      </c>
      <c r="X8" s="115" t="s">
        <v>1154</v>
      </c>
      <c r="Y8" s="115"/>
      <c r="Z8" s="115"/>
      <c r="AB8" s="128" t="s">
        <v>2601</v>
      </c>
    </row>
    <row r="9" spans="1:28" s="21" customFormat="1" ht="12" customHeight="1">
      <c r="A9" s="505" t="s">
        <v>1689</v>
      </c>
      <c r="B9" s="115" t="s">
        <v>1688</v>
      </c>
      <c r="C9" s="116">
        <v>42945</v>
      </c>
      <c r="D9" s="116">
        <v>42952</v>
      </c>
      <c r="E9" s="115" t="s">
        <v>1693</v>
      </c>
      <c r="F9" s="115"/>
      <c r="G9" s="361" t="s">
        <v>1695</v>
      </c>
      <c r="H9" s="115" t="s">
        <v>1694</v>
      </c>
      <c r="I9" s="115" t="s">
        <v>18</v>
      </c>
      <c r="J9" s="115" t="s">
        <v>51</v>
      </c>
      <c r="K9" s="115"/>
      <c r="L9" s="115" t="s">
        <v>1691</v>
      </c>
      <c r="M9" s="115"/>
      <c r="N9" s="128" t="s">
        <v>1690</v>
      </c>
      <c r="O9" s="1027">
        <f>1990+70</f>
        <v>2060</v>
      </c>
      <c r="P9" s="115"/>
      <c r="Q9" s="115" t="s">
        <v>1692</v>
      </c>
      <c r="R9" s="682">
        <v>1</v>
      </c>
      <c r="S9" s="361">
        <v>2</v>
      </c>
      <c r="T9" s="361">
        <v>3</v>
      </c>
      <c r="U9" s="119">
        <v>513.25</v>
      </c>
      <c r="V9" s="120">
        <v>42785</v>
      </c>
      <c r="W9" s="115" t="s">
        <v>1651</v>
      </c>
      <c r="X9" s="115" t="s">
        <v>1154</v>
      </c>
      <c r="Y9" s="115"/>
      <c r="Z9" s="115"/>
      <c r="AB9" s="128" t="s">
        <v>2861</v>
      </c>
    </row>
    <row r="10" spans="1:28" s="21" customFormat="1" ht="12" hidden="1" customHeight="1">
      <c r="A10" s="111" t="s">
        <v>755</v>
      </c>
      <c r="B10" s="61" t="s">
        <v>756</v>
      </c>
      <c r="C10" s="62">
        <v>40705</v>
      </c>
      <c r="D10" s="62">
        <v>40719</v>
      </c>
      <c r="E10" s="61" t="s">
        <v>757</v>
      </c>
      <c r="F10" s="61"/>
      <c r="G10" s="802" t="s">
        <v>758</v>
      </c>
      <c r="H10" s="61" t="s">
        <v>759</v>
      </c>
      <c r="I10" s="61" t="s">
        <v>18</v>
      </c>
      <c r="J10" s="61" t="s">
        <v>51</v>
      </c>
      <c r="K10" s="61" t="s">
        <v>761</v>
      </c>
      <c r="L10" s="61"/>
      <c r="M10" s="61"/>
      <c r="N10" s="63" t="s">
        <v>760</v>
      </c>
      <c r="O10" s="1022">
        <f>1434+70</f>
        <v>1504</v>
      </c>
      <c r="P10" s="61"/>
      <c r="Q10" s="61" t="s">
        <v>762</v>
      </c>
      <c r="R10" s="882">
        <v>1</v>
      </c>
      <c r="S10" s="802">
        <v>4</v>
      </c>
      <c r="T10" s="802">
        <v>0</v>
      </c>
      <c r="U10" s="72">
        <v>358.5</v>
      </c>
      <c r="V10" s="61"/>
      <c r="W10" s="61"/>
      <c r="X10" s="61"/>
      <c r="Y10" s="61"/>
      <c r="Z10" s="61"/>
      <c r="AB10" s="128" t="s">
        <v>2423</v>
      </c>
    </row>
    <row r="11" spans="1:28" s="21" customFormat="1" ht="12" customHeight="1">
      <c r="A11" s="698" t="s">
        <v>2416</v>
      </c>
      <c r="B11" s="689" t="s">
        <v>2417</v>
      </c>
      <c r="C11" s="690">
        <v>44065</v>
      </c>
      <c r="D11" s="690">
        <v>44086</v>
      </c>
      <c r="E11" s="689" t="s">
        <v>2418</v>
      </c>
      <c r="F11" s="689"/>
      <c r="G11" s="691" t="s">
        <v>2419</v>
      </c>
      <c r="H11" s="692" t="s">
        <v>2420</v>
      </c>
      <c r="I11" s="689" t="s">
        <v>168</v>
      </c>
      <c r="J11" s="689" t="s">
        <v>1023</v>
      </c>
      <c r="K11" s="689" t="s">
        <v>2421</v>
      </c>
      <c r="L11" s="693" t="s">
        <v>2422</v>
      </c>
      <c r="M11" s="689"/>
      <c r="N11" s="874" t="s">
        <v>2423</v>
      </c>
      <c r="O11" s="1041">
        <f>U11/2</f>
        <v>696.5</v>
      </c>
      <c r="P11" s="689"/>
      <c r="Q11" s="689" t="s">
        <v>2626</v>
      </c>
      <c r="R11" s="696">
        <v>0</v>
      </c>
      <c r="S11" s="691">
        <v>2</v>
      </c>
      <c r="T11" s="691">
        <v>1</v>
      </c>
      <c r="U11" s="753">
        <v>1393</v>
      </c>
      <c r="V11" s="695">
        <v>43810</v>
      </c>
      <c r="W11" s="689" t="s">
        <v>1769</v>
      </c>
      <c r="X11" s="689" t="s">
        <v>1154</v>
      </c>
      <c r="Y11" s="689"/>
      <c r="Z11" s="689"/>
      <c r="AB11" s="128" t="s">
        <v>3109</v>
      </c>
    </row>
    <row r="12" spans="1:28" s="21" customFormat="1" ht="12" customHeight="1">
      <c r="A12" s="505" t="s">
        <v>2416</v>
      </c>
      <c r="B12" s="115" t="s">
        <v>2417</v>
      </c>
      <c r="C12" s="116">
        <v>45199</v>
      </c>
      <c r="D12" s="116">
        <v>45220</v>
      </c>
      <c r="E12" s="115" t="s">
        <v>2418</v>
      </c>
      <c r="F12" s="115"/>
      <c r="G12" s="361" t="s">
        <v>2419</v>
      </c>
      <c r="H12" s="364" t="s">
        <v>2420</v>
      </c>
      <c r="I12" s="115" t="s">
        <v>168</v>
      </c>
      <c r="J12" s="115" t="s">
        <v>1023</v>
      </c>
      <c r="K12" s="115" t="s">
        <v>2421</v>
      </c>
      <c r="L12" s="124" t="s">
        <v>2422</v>
      </c>
      <c r="M12" s="115"/>
      <c r="N12" s="128" t="s">
        <v>2423</v>
      </c>
      <c r="O12" s="1027">
        <f>1290*3</f>
        <v>3870</v>
      </c>
      <c r="P12" s="115"/>
      <c r="Q12" s="115"/>
      <c r="R12" s="682">
        <v>3</v>
      </c>
      <c r="S12" s="361">
        <v>2</v>
      </c>
      <c r="T12" s="361">
        <v>1</v>
      </c>
      <c r="U12" s="119">
        <v>967.5</v>
      </c>
      <c r="V12" s="120">
        <v>44844</v>
      </c>
      <c r="W12" s="115" t="s">
        <v>3337</v>
      </c>
      <c r="X12" s="115" t="s">
        <v>1154</v>
      </c>
      <c r="Y12" s="115" t="s">
        <v>3350</v>
      </c>
      <c r="Z12" s="115"/>
      <c r="AB12" s="128" t="s">
        <v>1878</v>
      </c>
    </row>
    <row r="13" spans="1:28" s="21" customFormat="1" ht="12" customHeight="1">
      <c r="A13" s="115" t="s">
        <v>2185</v>
      </c>
      <c r="B13" s="115" t="s">
        <v>2600</v>
      </c>
      <c r="C13" s="116">
        <v>44030</v>
      </c>
      <c r="D13" s="116">
        <v>44044</v>
      </c>
      <c r="E13" s="115" t="s">
        <v>2603</v>
      </c>
      <c r="F13" s="115"/>
      <c r="G13" s="361" t="s">
        <v>2604</v>
      </c>
      <c r="H13" s="364" t="s">
        <v>2605</v>
      </c>
      <c r="I13" s="115" t="s">
        <v>18</v>
      </c>
      <c r="J13" s="115" t="s">
        <v>51</v>
      </c>
      <c r="K13" s="115" t="s">
        <v>2606</v>
      </c>
      <c r="L13" s="124" t="s">
        <v>2602</v>
      </c>
      <c r="M13" s="115"/>
      <c r="N13" s="128" t="s">
        <v>2601</v>
      </c>
      <c r="O13" s="1027">
        <f>1990*2</f>
        <v>3980</v>
      </c>
      <c r="P13" s="115"/>
      <c r="Q13" s="115" t="s">
        <v>2607</v>
      </c>
      <c r="R13" s="682">
        <v>2</v>
      </c>
      <c r="S13" s="361">
        <v>5</v>
      </c>
      <c r="T13" s="361">
        <v>2</v>
      </c>
      <c r="U13" s="119" t="s">
        <v>2609</v>
      </c>
      <c r="V13" s="120">
        <v>44005</v>
      </c>
      <c r="W13" s="115" t="s">
        <v>1338</v>
      </c>
      <c r="X13" s="115" t="s">
        <v>1154</v>
      </c>
      <c r="Y13" s="115"/>
      <c r="Z13" s="115"/>
      <c r="AB13" s="50" t="s">
        <v>1381</v>
      </c>
    </row>
    <row r="14" spans="1:28" s="21" customFormat="1" ht="12" customHeight="1">
      <c r="A14" s="505" t="s">
        <v>2854</v>
      </c>
      <c r="B14" s="115" t="s">
        <v>2855</v>
      </c>
      <c r="C14" s="116">
        <v>44422</v>
      </c>
      <c r="D14" s="116">
        <v>44436</v>
      </c>
      <c r="E14" s="115" t="s">
        <v>2856</v>
      </c>
      <c r="F14" s="115"/>
      <c r="G14" s="361" t="s">
        <v>2857</v>
      </c>
      <c r="H14" s="115" t="s">
        <v>2858</v>
      </c>
      <c r="I14" s="115" t="s">
        <v>18</v>
      </c>
      <c r="J14" s="115" t="s">
        <v>51</v>
      </c>
      <c r="K14" s="124" t="s">
        <v>2859</v>
      </c>
      <c r="L14" s="115" t="s">
        <v>2860</v>
      </c>
      <c r="M14" s="115"/>
      <c r="N14" s="128" t="s">
        <v>2861</v>
      </c>
      <c r="O14" s="1027">
        <f>1990*2</f>
        <v>3980</v>
      </c>
      <c r="P14" s="115"/>
      <c r="Q14" s="115" t="s">
        <v>2862</v>
      </c>
      <c r="R14" s="682">
        <v>2</v>
      </c>
      <c r="S14" s="361">
        <v>4</v>
      </c>
      <c r="T14" s="361">
        <v>2</v>
      </c>
      <c r="U14" s="918"/>
      <c r="V14" s="115">
        <v>44230</v>
      </c>
      <c r="W14" s="115" t="s">
        <v>1477</v>
      </c>
      <c r="X14" s="115" t="s">
        <v>1154</v>
      </c>
      <c r="Y14" s="115"/>
      <c r="Z14" s="115"/>
      <c r="AB14" s="121" t="s">
        <v>3982</v>
      </c>
    </row>
    <row r="15" spans="1:28" s="21" customFormat="1" ht="12" customHeight="1">
      <c r="A15" s="115" t="s">
        <v>3103</v>
      </c>
      <c r="B15" s="115" t="s">
        <v>1509</v>
      </c>
      <c r="C15" s="116">
        <v>44563</v>
      </c>
      <c r="D15" s="116">
        <v>44573</v>
      </c>
      <c r="E15" s="115" t="s">
        <v>3104</v>
      </c>
      <c r="F15" s="115"/>
      <c r="G15" s="361" t="s">
        <v>3105</v>
      </c>
      <c r="H15" s="115" t="s">
        <v>3106</v>
      </c>
      <c r="I15" s="115" t="s">
        <v>18</v>
      </c>
      <c r="J15" s="115" t="s">
        <v>51</v>
      </c>
      <c r="K15" s="124" t="s">
        <v>3107</v>
      </c>
      <c r="L15" s="115" t="s">
        <v>3108</v>
      </c>
      <c r="M15" s="115"/>
      <c r="N15" s="128" t="s">
        <v>3109</v>
      </c>
      <c r="O15" s="1044">
        <f>1380+70</f>
        <v>1450</v>
      </c>
      <c r="P15" s="115"/>
      <c r="Q15" s="115" t="s">
        <v>1300</v>
      </c>
      <c r="R15" s="682">
        <v>1.5</v>
      </c>
      <c r="S15" s="361">
        <v>2</v>
      </c>
      <c r="T15" s="361">
        <v>3</v>
      </c>
      <c r="U15" s="918"/>
      <c r="V15" s="115">
        <v>44558</v>
      </c>
      <c r="W15" s="115" t="s">
        <v>1477</v>
      </c>
      <c r="X15" s="115" t="s">
        <v>1154</v>
      </c>
      <c r="Y15" s="115"/>
      <c r="Z15" s="115"/>
      <c r="AB15" s="50" t="s">
        <v>1290</v>
      </c>
    </row>
    <row r="16" spans="1:28" s="21" customFormat="1" ht="12" customHeight="1">
      <c r="A16" s="505" t="s">
        <v>681</v>
      </c>
      <c r="B16" s="115" t="s">
        <v>1874</v>
      </c>
      <c r="C16" s="116">
        <v>43316</v>
      </c>
      <c r="D16" s="116">
        <v>43323</v>
      </c>
      <c r="E16" s="115" t="s">
        <v>1875</v>
      </c>
      <c r="F16" s="115"/>
      <c r="G16" s="361" t="s">
        <v>1876</v>
      </c>
      <c r="H16" s="115" t="s">
        <v>1774</v>
      </c>
      <c r="I16" s="115" t="s">
        <v>1775</v>
      </c>
      <c r="J16" s="115" t="s">
        <v>1023</v>
      </c>
      <c r="K16" s="115"/>
      <c r="L16" s="115" t="s">
        <v>1877</v>
      </c>
      <c r="M16" s="115"/>
      <c r="N16" s="128" t="s">
        <v>1878</v>
      </c>
      <c r="O16" s="1027">
        <v>1990</v>
      </c>
      <c r="P16" s="115"/>
      <c r="Q16" s="115" t="s">
        <v>1879</v>
      </c>
      <c r="R16" s="682">
        <v>1</v>
      </c>
      <c r="S16" s="361">
        <v>4</v>
      </c>
      <c r="T16" s="361">
        <v>1</v>
      </c>
      <c r="U16" s="119">
        <v>500</v>
      </c>
      <c r="V16" s="120"/>
      <c r="W16" s="115"/>
      <c r="X16" s="115"/>
      <c r="Y16" s="115"/>
      <c r="Z16" s="115"/>
      <c r="AB16" s="50" t="s">
        <v>502</v>
      </c>
    </row>
    <row r="17" spans="1:28" s="21" customFormat="1" ht="12" customHeight="1">
      <c r="A17" s="20" t="s">
        <v>1375</v>
      </c>
      <c r="B17" s="21" t="s">
        <v>1376</v>
      </c>
      <c r="C17" s="30">
        <v>42154</v>
      </c>
      <c r="D17" s="30">
        <v>42168</v>
      </c>
      <c r="E17" s="21" t="s">
        <v>1377</v>
      </c>
      <c r="G17" s="764" t="s">
        <v>1378</v>
      </c>
      <c r="H17" s="21" t="s">
        <v>1379</v>
      </c>
      <c r="I17" s="21" t="s">
        <v>18</v>
      </c>
      <c r="J17" s="21" t="s">
        <v>51</v>
      </c>
      <c r="L17" s="21" t="s">
        <v>1380</v>
      </c>
      <c r="N17" s="50" t="s">
        <v>1381</v>
      </c>
      <c r="O17" s="1013">
        <f>990+1090+70+3*14*2</f>
        <v>2234</v>
      </c>
      <c r="Q17" s="21" t="s">
        <v>1383</v>
      </c>
      <c r="R17" s="876">
        <v>2</v>
      </c>
      <c r="S17" s="764" t="s">
        <v>1382</v>
      </c>
      <c r="T17" s="764">
        <v>2</v>
      </c>
      <c r="U17" s="75">
        <f>2080/4</f>
        <v>520</v>
      </c>
      <c r="V17" s="78">
        <v>42011</v>
      </c>
      <c r="W17" s="21" t="s">
        <v>1338</v>
      </c>
      <c r="X17" s="21" t="s">
        <v>1154</v>
      </c>
      <c r="AB17" s="128" t="s">
        <v>2903</v>
      </c>
    </row>
    <row r="18" spans="1:28" s="21" customFormat="1" ht="12" customHeight="1">
      <c r="A18" s="20" t="s">
        <v>1286</v>
      </c>
      <c r="B18" s="21" t="s">
        <v>1285</v>
      </c>
      <c r="C18" s="30">
        <v>41839</v>
      </c>
      <c r="D18" s="30">
        <v>41853</v>
      </c>
      <c r="E18" s="21" t="s">
        <v>1287</v>
      </c>
      <c r="G18" s="764" t="s">
        <v>1288</v>
      </c>
      <c r="H18" s="21" t="s">
        <v>868</v>
      </c>
      <c r="I18" s="21" t="s">
        <v>18</v>
      </c>
      <c r="J18" s="21" t="s">
        <v>51</v>
      </c>
      <c r="K18" s="21" t="s">
        <v>1289</v>
      </c>
      <c r="N18" s="50" t="s">
        <v>1290</v>
      </c>
      <c r="O18" s="1013">
        <v>3000</v>
      </c>
      <c r="Q18" s="21" t="s">
        <v>1291</v>
      </c>
      <c r="R18" s="876">
        <v>2</v>
      </c>
      <c r="S18" s="764">
        <v>4</v>
      </c>
      <c r="T18" s="764">
        <v>0</v>
      </c>
      <c r="U18" s="75">
        <v>0</v>
      </c>
      <c r="V18" s="78">
        <v>41822</v>
      </c>
      <c r="X18" s="21" t="s">
        <v>1217</v>
      </c>
      <c r="AB18" s="365" t="s">
        <v>1898</v>
      </c>
    </row>
    <row r="19" spans="1:28" s="21" customFormat="1" ht="12" hidden="1" customHeight="1">
      <c r="A19" s="20" t="s">
        <v>500</v>
      </c>
      <c r="B19" s="21" t="s">
        <v>501</v>
      </c>
      <c r="C19" s="30">
        <v>39991</v>
      </c>
      <c r="D19" s="30">
        <v>40005</v>
      </c>
      <c r="G19" s="764"/>
      <c r="I19" s="21" t="s">
        <v>18</v>
      </c>
      <c r="J19" s="21" t="s">
        <v>51</v>
      </c>
      <c r="L19" s="21" t="s">
        <v>533</v>
      </c>
      <c r="N19" s="50" t="s">
        <v>502</v>
      </c>
      <c r="O19" s="1013">
        <v>2600</v>
      </c>
      <c r="Q19" s="21" t="s">
        <v>503</v>
      </c>
      <c r="R19" s="876">
        <v>2</v>
      </c>
      <c r="S19" s="764">
        <v>5</v>
      </c>
      <c r="T19" s="764"/>
      <c r="U19" s="43">
        <v>650</v>
      </c>
      <c r="AB19" s="128" t="s">
        <v>2903</v>
      </c>
    </row>
    <row r="20" spans="1:28" ht="12" customHeight="1" thickBot="1">
      <c r="A20" s="505" t="s">
        <v>2898</v>
      </c>
      <c r="B20" s="115" t="s">
        <v>2899</v>
      </c>
      <c r="C20" s="116">
        <v>44345</v>
      </c>
      <c r="D20" s="116">
        <v>44352</v>
      </c>
      <c r="E20" s="961" t="s">
        <v>2900</v>
      </c>
      <c r="F20" s="115"/>
      <c r="G20" s="361"/>
      <c r="H20" s="496" t="s">
        <v>2901</v>
      </c>
      <c r="I20" s="115" t="s">
        <v>18</v>
      </c>
      <c r="J20" s="115" t="s">
        <v>51</v>
      </c>
      <c r="K20" s="115"/>
      <c r="L20" s="961" t="s">
        <v>2902</v>
      </c>
      <c r="M20" s="115"/>
      <c r="N20" s="128" t="s">
        <v>2903</v>
      </c>
      <c r="O20" s="1027">
        <v>1190</v>
      </c>
      <c r="P20" s="115"/>
      <c r="Q20" s="115" t="s">
        <v>2674</v>
      </c>
      <c r="R20" s="682">
        <v>1</v>
      </c>
      <c r="S20" s="361">
        <v>2</v>
      </c>
      <c r="T20" s="361">
        <v>1</v>
      </c>
      <c r="U20" s="119">
        <f>297.5+892.5</f>
        <v>1190</v>
      </c>
      <c r="V20" s="120">
        <v>44274</v>
      </c>
      <c r="W20" s="115" t="s">
        <v>2904</v>
      </c>
      <c r="X20" s="115" t="s">
        <v>1154</v>
      </c>
      <c r="Y20" s="115"/>
      <c r="Z20" s="446"/>
      <c r="AB20" s="51" t="s">
        <v>409</v>
      </c>
    </row>
    <row r="21" spans="1:28" ht="12" customHeight="1" thickBot="1">
      <c r="A21" s="517" t="s">
        <v>2898</v>
      </c>
      <c r="B21" s="539" t="s">
        <v>2899</v>
      </c>
      <c r="C21" s="116">
        <v>44702</v>
      </c>
      <c r="D21" s="116">
        <v>44709</v>
      </c>
      <c r="E21" s="961" t="s">
        <v>2900</v>
      </c>
      <c r="F21" s="115"/>
      <c r="G21" s="361"/>
      <c r="H21" s="496" t="s">
        <v>2901</v>
      </c>
      <c r="I21" s="115" t="s">
        <v>18</v>
      </c>
      <c r="J21" s="115" t="s">
        <v>51</v>
      </c>
      <c r="K21" s="115"/>
      <c r="L21" s="961" t="s">
        <v>2902</v>
      </c>
      <c r="M21" s="115"/>
      <c r="N21" s="128" t="s">
        <v>2903</v>
      </c>
      <c r="O21" s="1027">
        <v>1190</v>
      </c>
      <c r="P21" s="115"/>
      <c r="Q21" s="115" t="s">
        <v>2674</v>
      </c>
      <c r="R21" s="682">
        <v>1</v>
      </c>
      <c r="S21" s="361">
        <v>2</v>
      </c>
      <c r="T21" s="361">
        <v>1</v>
      </c>
      <c r="U21" s="119">
        <v>297.5</v>
      </c>
      <c r="V21" s="120">
        <v>44466</v>
      </c>
      <c r="W21" s="115" t="s">
        <v>3043</v>
      </c>
      <c r="X21" s="115" t="s">
        <v>1154</v>
      </c>
      <c r="Y21" s="115"/>
      <c r="Z21" s="446"/>
      <c r="AB21" s="51" t="s">
        <v>598</v>
      </c>
    </row>
    <row r="22" spans="1:28" ht="12" customHeight="1" thickBot="1">
      <c r="A22" s="518" t="s">
        <v>1892</v>
      </c>
      <c r="B22" s="540" t="s">
        <v>406</v>
      </c>
      <c r="C22" s="1298">
        <v>43309</v>
      </c>
      <c r="D22" s="357">
        <v>43316</v>
      </c>
      <c r="E22" s="355" t="s">
        <v>1893</v>
      </c>
      <c r="F22" s="355"/>
      <c r="G22" s="358" t="s">
        <v>1894</v>
      </c>
      <c r="H22" s="355" t="s">
        <v>1895</v>
      </c>
      <c r="I22" s="355" t="s">
        <v>18</v>
      </c>
      <c r="J22" s="355" t="s">
        <v>1023</v>
      </c>
      <c r="K22" s="355" t="s">
        <v>1896</v>
      </c>
      <c r="L22" s="355" t="s">
        <v>1897</v>
      </c>
      <c r="M22" s="355"/>
      <c r="N22" s="365" t="s">
        <v>1898</v>
      </c>
      <c r="O22" s="1036">
        <f>1990+63</f>
        <v>2053</v>
      </c>
      <c r="P22" s="355"/>
      <c r="Q22" s="355" t="s">
        <v>1899</v>
      </c>
      <c r="R22" s="891">
        <v>1</v>
      </c>
      <c r="S22" s="358">
        <v>4</v>
      </c>
      <c r="T22" s="358">
        <v>3</v>
      </c>
      <c r="U22" s="478" t="s">
        <v>1932</v>
      </c>
      <c r="V22" s="360"/>
      <c r="W22" s="355"/>
      <c r="X22" s="355"/>
      <c r="Y22" s="355"/>
      <c r="Z22" s="355"/>
      <c r="AB22" s="63" t="s">
        <v>711</v>
      </c>
    </row>
    <row r="23" spans="1:28" ht="12" customHeight="1" thickBot="1">
      <c r="A23" s="21" t="s">
        <v>405</v>
      </c>
      <c r="B23" s="21" t="s">
        <v>406</v>
      </c>
      <c r="C23" s="30">
        <v>39620</v>
      </c>
      <c r="D23" s="30">
        <v>39627</v>
      </c>
      <c r="E23" s="21" t="s">
        <v>407</v>
      </c>
      <c r="F23" s="21"/>
      <c r="G23" s="764">
        <v>35435</v>
      </c>
      <c r="H23" s="21" t="s">
        <v>408</v>
      </c>
      <c r="I23" s="21" t="s">
        <v>18</v>
      </c>
      <c r="J23" s="21" t="s">
        <v>51</v>
      </c>
      <c r="K23" s="21"/>
      <c r="L23" s="37" t="s">
        <v>410</v>
      </c>
      <c r="M23" s="21"/>
      <c r="N23" s="51" t="s">
        <v>409</v>
      </c>
      <c r="O23" s="1013">
        <v>1000</v>
      </c>
      <c r="P23" s="21"/>
      <c r="Q23" s="21"/>
      <c r="R23" s="876">
        <v>1</v>
      </c>
      <c r="S23" s="764">
        <v>3</v>
      </c>
      <c r="T23" s="764"/>
      <c r="U23" s="1364">
        <v>250</v>
      </c>
      <c r="V23" s="21"/>
      <c r="W23" s="21"/>
      <c r="X23" s="21"/>
      <c r="Y23" s="21"/>
      <c r="Z23" s="21"/>
      <c r="AB23" s="1240" t="s">
        <v>3407</v>
      </c>
    </row>
    <row r="24" spans="1:28" ht="12" customHeight="1" thickBot="1">
      <c r="A24" s="1256" t="s">
        <v>595</v>
      </c>
      <c r="B24" s="1282" t="s">
        <v>596</v>
      </c>
      <c r="C24" s="30">
        <v>40306</v>
      </c>
      <c r="D24" s="30">
        <v>40320</v>
      </c>
      <c r="E24" s="21"/>
      <c r="F24" s="21"/>
      <c r="G24" s="764"/>
      <c r="H24" s="21"/>
      <c r="I24" s="21" t="s">
        <v>18</v>
      </c>
      <c r="J24" s="21" t="s">
        <v>51</v>
      </c>
      <c r="K24" s="21" t="s">
        <v>597</v>
      </c>
      <c r="L24" s="21"/>
      <c r="M24" s="21"/>
      <c r="N24" s="51" t="s">
        <v>598</v>
      </c>
      <c r="O24" s="1013">
        <f>1580+70+84</f>
        <v>1734</v>
      </c>
      <c r="P24" s="21"/>
      <c r="Q24" s="21" t="s">
        <v>599</v>
      </c>
      <c r="R24" s="876">
        <v>2</v>
      </c>
      <c r="S24" s="764">
        <v>3</v>
      </c>
      <c r="T24" s="764">
        <v>2</v>
      </c>
      <c r="U24" s="1374">
        <v>395</v>
      </c>
      <c r="V24" s="21"/>
      <c r="W24" s="21"/>
      <c r="X24" s="21"/>
      <c r="Y24" s="21"/>
      <c r="Z24" s="21"/>
      <c r="AB24" s="50" t="s">
        <v>1179</v>
      </c>
    </row>
    <row r="25" spans="1:28" ht="12" customHeight="1">
      <c r="A25" s="61" t="s">
        <v>709</v>
      </c>
      <c r="B25" s="61" t="s">
        <v>710</v>
      </c>
      <c r="C25" s="62">
        <v>40635</v>
      </c>
      <c r="D25" s="62">
        <v>40642</v>
      </c>
      <c r="E25" s="61" t="s">
        <v>715</v>
      </c>
      <c r="F25" s="61"/>
      <c r="G25" s="802" t="s">
        <v>716</v>
      </c>
      <c r="H25" s="61" t="s">
        <v>714</v>
      </c>
      <c r="I25" s="61" t="s">
        <v>18</v>
      </c>
      <c r="J25" s="61" t="s">
        <v>51</v>
      </c>
      <c r="K25" s="61" t="s">
        <v>713</v>
      </c>
      <c r="L25" s="61" t="s">
        <v>712</v>
      </c>
      <c r="M25" s="61"/>
      <c r="N25" s="63" t="s">
        <v>711</v>
      </c>
      <c r="O25" s="1022">
        <f>690+70+42</f>
        <v>802</v>
      </c>
      <c r="P25" s="61"/>
      <c r="Q25" s="61" t="s">
        <v>717</v>
      </c>
      <c r="R25" s="882">
        <v>1</v>
      </c>
      <c r="S25" s="802">
        <v>2</v>
      </c>
      <c r="T25" s="802">
        <v>2</v>
      </c>
      <c r="U25" s="1373">
        <v>200</v>
      </c>
      <c r="V25" s="61"/>
      <c r="W25" s="61"/>
      <c r="X25" s="61"/>
      <c r="Y25" s="61"/>
      <c r="Z25" s="61"/>
      <c r="AB25" s="128" t="s">
        <v>1831</v>
      </c>
    </row>
    <row r="26" spans="1:28" ht="12" customHeight="1">
      <c r="A26" s="383" t="s">
        <v>3408</v>
      </c>
      <c r="B26" s="383" t="s">
        <v>682</v>
      </c>
      <c r="C26" s="384">
        <v>45024</v>
      </c>
      <c r="D26" s="384">
        <v>45031</v>
      </c>
      <c r="E26" s="1239"/>
      <c r="F26" s="383"/>
      <c r="G26" s="385"/>
      <c r="H26" s="383"/>
      <c r="I26" s="383" t="s">
        <v>18</v>
      </c>
      <c r="J26" s="383" t="s">
        <v>51</v>
      </c>
      <c r="K26" s="383" t="s">
        <v>3409</v>
      </c>
      <c r="L26" s="383"/>
      <c r="M26" s="383"/>
      <c r="N26" s="1240" t="s">
        <v>3407</v>
      </c>
      <c r="O26" s="389">
        <v>1190</v>
      </c>
      <c r="P26" s="383"/>
      <c r="Q26" s="383" t="s">
        <v>717</v>
      </c>
      <c r="R26" s="385">
        <v>1</v>
      </c>
      <c r="S26" s="385">
        <v>2</v>
      </c>
      <c r="T26" s="385">
        <v>2</v>
      </c>
      <c r="U26" s="390"/>
      <c r="V26" s="391">
        <v>44937</v>
      </c>
      <c r="W26" s="383" t="s">
        <v>1338</v>
      </c>
      <c r="X26" s="383" t="s">
        <v>1154</v>
      </c>
      <c r="Y26" s="383"/>
      <c r="Z26" s="383"/>
      <c r="AB26" s="1782" t="s">
        <v>197</v>
      </c>
    </row>
    <row r="27" spans="1:28" ht="12" customHeight="1" thickBot="1">
      <c r="A27" s="21" t="s">
        <v>1173</v>
      </c>
      <c r="B27" s="21" t="s">
        <v>1174</v>
      </c>
      <c r="C27" s="30">
        <v>41636</v>
      </c>
      <c r="D27" s="30">
        <v>41650</v>
      </c>
      <c r="E27" s="21" t="s">
        <v>1175</v>
      </c>
      <c r="F27" s="21"/>
      <c r="G27" s="764" t="s">
        <v>1176</v>
      </c>
      <c r="H27" s="21" t="s">
        <v>868</v>
      </c>
      <c r="I27" s="21" t="s">
        <v>18</v>
      </c>
      <c r="J27" s="21" t="s">
        <v>51</v>
      </c>
      <c r="K27" s="21" t="s">
        <v>1177</v>
      </c>
      <c r="L27" s="21" t="s">
        <v>1178</v>
      </c>
      <c r="M27" s="21"/>
      <c r="N27" s="50" t="s">
        <v>1179</v>
      </c>
      <c r="O27" s="1013">
        <f>1150+690+70</f>
        <v>1910</v>
      </c>
      <c r="P27" s="21"/>
      <c r="Q27" s="21" t="s">
        <v>1185</v>
      </c>
      <c r="R27" s="876">
        <v>2</v>
      </c>
      <c r="S27" s="764" t="s">
        <v>1180</v>
      </c>
      <c r="T27" s="764">
        <v>2</v>
      </c>
      <c r="U27" s="1364">
        <v>500</v>
      </c>
      <c r="V27" s="21">
        <v>41551</v>
      </c>
      <c r="W27" s="21" t="s">
        <v>1181</v>
      </c>
      <c r="X27" s="21" t="s">
        <v>1182</v>
      </c>
      <c r="Y27" s="21"/>
      <c r="Z27" s="21"/>
      <c r="AB27" s="1783" t="s">
        <v>3030</v>
      </c>
    </row>
    <row r="28" spans="1:28" ht="12" customHeight="1">
      <c r="A28" s="115" t="s">
        <v>1824</v>
      </c>
      <c r="B28" s="115" t="s">
        <v>1823</v>
      </c>
      <c r="C28" s="116">
        <v>43183</v>
      </c>
      <c r="D28" s="116">
        <v>43197</v>
      </c>
      <c r="E28" s="115" t="s">
        <v>1822</v>
      </c>
      <c r="F28" s="115"/>
      <c r="G28" s="361" t="s">
        <v>1826</v>
      </c>
      <c r="H28" s="115" t="s">
        <v>1825</v>
      </c>
      <c r="I28" s="115" t="s">
        <v>1827</v>
      </c>
      <c r="J28" s="115" t="s">
        <v>51</v>
      </c>
      <c r="K28" s="115" t="s">
        <v>1828</v>
      </c>
      <c r="L28" s="115"/>
      <c r="M28" s="115"/>
      <c r="N28" s="128" t="s">
        <v>1831</v>
      </c>
      <c r="O28" s="1027">
        <f>690*2</f>
        <v>1380</v>
      </c>
      <c r="P28" s="115"/>
      <c r="Q28" s="115" t="s">
        <v>1829</v>
      </c>
      <c r="R28" s="682">
        <v>2</v>
      </c>
      <c r="S28" s="361" t="s">
        <v>1830</v>
      </c>
      <c r="T28" s="361">
        <v>1</v>
      </c>
      <c r="U28" s="598">
        <v>500</v>
      </c>
      <c r="V28" s="115">
        <v>43046</v>
      </c>
      <c r="W28" s="115" t="s">
        <v>1833</v>
      </c>
      <c r="X28" s="115" t="s">
        <v>1154</v>
      </c>
      <c r="Y28" s="115"/>
      <c r="Z28" s="115"/>
      <c r="AB28" s="50" t="s">
        <v>565</v>
      </c>
    </row>
    <row r="29" spans="1:28" s="778" customFormat="1" ht="12" customHeight="1" thickBot="1">
      <c r="A29" s="778" t="s">
        <v>193</v>
      </c>
      <c r="C29" s="1291">
        <v>38493</v>
      </c>
      <c r="D29" s="1291">
        <v>38507</v>
      </c>
      <c r="E29" s="778" t="s">
        <v>194</v>
      </c>
      <c r="G29" s="779" t="s">
        <v>195</v>
      </c>
      <c r="H29" s="778" t="s">
        <v>196</v>
      </c>
      <c r="I29" s="778" t="s">
        <v>18</v>
      </c>
      <c r="J29" s="778" t="s">
        <v>51</v>
      </c>
      <c r="L29" s="778" t="s">
        <v>233</v>
      </c>
      <c r="N29" s="996" t="s">
        <v>197</v>
      </c>
      <c r="O29" s="1347">
        <f>460+520</f>
        <v>980</v>
      </c>
      <c r="R29" s="877">
        <v>2</v>
      </c>
      <c r="S29" s="779" t="s">
        <v>199</v>
      </c>
      <c r="T29" s="779"/>
      <c r="U29" s="778" t="s">
        <v>232</v>
      </c>
      <c r="AB29" s="992" t="s">
        <v>1369</v>
      </c>
    </row>
    <row r="30" spans="1:28" ht="12" customHeight="1">
      <c r="A30" s="1136" t="s">
        <v>3024</v>
      </c>
      <c r="B30" s="1136" t="s">
        <v>3025</v>
      </c>
      <c r="C30" s="1137">
        <v>44751</v>
      </c>
      <c r="D30" s="1137">
        <v>44765</v>
      </c>
      <c r="E30" s="1138" t="s">
        <v>3026</v>
      </c>
      <c r="F30" s="1136"/>
      <c r="G30" s="1139" t="s">
        <v>3027</v>
      </c>
      <c r="H30" s="1138" t="s">
        <v>3028</v>
      </c>
      <c r="I30" s="1136" t="s">
        <v>18</v>
      </c>
      <c r="J30" s="1136" t="s">
        <v>51</v>
      </c>
      <c r="K30" s="1136"/>
      <c r="L30" s="1138" t="s">
        <v>3029</v>
      </c>
      <c r="M30" s="1136"/>
      <c r="N30" s="1140" t="s">
        <v>3030</v>
      </c>
      <c r="O30" s="1141">
        <f>1990*2+70</f>
        <v>4050</v>
      </c>
      <c r="P30" s="1136"/>
      <c r="Q30" s="1136" t="s">
        <v>3282</v>
      </c>
      <c r="R30" s="1142">
        <v>2</v>
      </c>
      <c r="S30" s="1139">
        <v>2</v>
      </c>
      <c r="T30" s="1139">
        <v>2</v>
      </c>
      <c r="U30" s="1366" t="s">
        <v>3031</v>
      </c>
      <c r="V30" s="1136">
        <v>44428</v>
      </c>
      <c r="W30" s="1136" t="s">
        <v>1477</v>
      </c>
      <c r="X30" s="1136" t="s">
        <v>1154</v>
      </c>
      <c r="Y30" s="1136"/>
      <c r="Z30" s="1136"/>
      <c r="AB30" s="993" t="s">
        <v>2004</v>
      </c>
    </row>
    <row r="31" spans="1:28" ht="12" customHeight="1" thickBot="1">
      <c r="A31" s="21" t="s">
        <v>560</v>
      </c>
      <c r="B31" s="21" t="s">
        <v>561</v>
      </c>
      <c r="C31" s="30">
        <v>40096</v>
      </c>
      <c r="D31" s="30">
        <v>40110</v>
      </c>
      <c r="E31" s="21" t="s">
        <v>562</v>
      </c>
      <c r="F31" s="21"/>
      <c r="G31" s="764">
        <v>41466</v>
      </c>
      <c r="H31" s="21" t="s">
        <v>187</v>
      </c>
      <c r="I31" s="21" t="s">
        <v>18</v>
      </c>
      <c r="J31" s="21" t="s">
        <v>51</v>
      </c>
      <c r="K31" s="21" t="s">
        <v>563</v>
      </c>
      <c r="L31" s="21"/>
      <c r="M31" s="21"/>
      <c r="N31" s="50" t="s">
        <v>565</v>
      </c>
      <c r="O31" s="1013">
        <v>1580</v>
      </c>
      <c r="P31" s="21"/>
      <c r="Q31" s="21" t="s">
        <v>564</v>
      </c>
      <c r="R31" s="876">
        <v>2</v>
      </c>
      <c r="S31" s="764">
        <v>5</v>
      </c>
      <c r="T31" s="764">
        <v>1</v>
      </c>
      <c r="U31" s="1357">
        <f>1580/4</f>
        <v>395</v>
      </c>
      <c r="V31" s="21"/>
      <c r="W31" s="21"/>
      <c r="X31" s="21"/>
      <c r="Y31" s="21"/>
      <c r="Z31" s="21"/>
      <c r="AB31" s="50" t="s">
        <v>1050</v>
      </c>
    </row>
    <row r="32" spans="1:28" s="21" customFormat="1" ht="12" customHeight="1">
      <c r="A32" s="38" t="s">
        <v>1363</v>
      </c>
      <c r="B32" s="39" t="s">
        <v>1364</v>
      </c>
      <c r="C32" s="40">
        <v>42049</v>
      </c>
      <c r="D32" s="40">
        <v>42056</v>
      </c>
      <c r="E32" s="39" t="s">
        <v>1365</v>
      </c>
      <c r="F32" s="39"/>
      <c r="G32" s="780" t="s">
        <v>1366</v>
      </c>
      <c r="H32" s="39" t="s">
        <v>1367</v>
      </c>
      <c r="I32" s="39" t="s">
        <v>18</v>
      </c>
      <c r="J32" s="39" t="s">
        <v>51</v>
      </c>
      <c r="K32" s="39"/>
      <c r="L32" s="39" t="s">
        <v>1368</v>
      </c>
      <c r="M32" s="39"/>
      <c r="N32" s="54" t="s">
        <v>1369</v>
      </c>
      <c r="O32" s="1017">
        <f>690+21+30</f>
        <v>741</v>
      </c>
      <c r="P32" s="39"/>
      <c r="Q32" s="39"/>
      <c r="R32" s="878">
        <v>1</v>
      </c>
      <c r="S32" s="780" t="s">
        <v>1410</v>
      </c>
      <c r="T32" s="780">
        <v>1</v>
      </c>
      <c r="U32" s="1386">
        <v>200</v>
      </c>
      <c r="V32" s="78">
        <v>42009</v>
      </c>
      <c r="X32" s="21" t="s">
        <v>1154</v>
      </c>
      <c r="AB32" s="50" t="s">
        <v>554</v>
      </c>
    </row>
    <row r="33" spans="1:28" s="21" customFormat="1" ht="12" customHeight="1">
      <c r="A33" s="505" t="s">
        <v>1997</v>
      </c>
      <c r="B33" s="115" t="s">
        <v>1998</v>
      </c>
      <c r="C33" s="116">
        <v>43484</v>
      </c>
      <c r="D33" s="116">
        <v>43498</v>
      </c>
      <c r="E33" s="115" t="s">
        <v>1999</v>
      </c>
      <c r="F33" s="115"/>
      <c r="G33" s="361" t="s">
        <v>2000</v>
      </c>
      <c r="H33" s="115" t="s">
        <v>2001</v>
      </c>
      <c r="I33" s="115" t="s">
        <v>2002</v>
      </c>
      <c r="J33" s="115" t="s">
        <v>51</v>
      </c>
      <c r="K33" s="115"/>
      <c r="L33" s="115" t="s">
        <v>2003</v>
      </c>
      <c r="M33" s="115"/>
      <c r="N33" s="128" t="s">
        <v>2004</v>
      </c>
      <c r="O33" s="1027">
        <f>690*2+3*3*14+70</f>
        <v>1576</v>
      </c>
      <c r="P33" s="115"/>
      <c r="Q33" s="115" t="s">
        <v>2005</v>
      </c>
      <c r="R33" s="682">
        <v>2</v>
      </c>
      <c r="S33" s="361">
        <v>2</v>
      </c>
      <c r="T33" s="361">
        <v>3</v>
      </c>
      <c r="U33" s="119"/>
      <c r="V33" s="120" t="s">
        <v>1769</v>
      </c>
      <c r="W33" s="115"/>
      <c r="X33" s="115"/>
      <c r="Y33" s="115"/>
      <c r="Z33" s="115"/>
      <c r="AB33" s="121" t="s">
        <v>3386</v>
      </c>
    </row>
    <row r="34" spans="1:28" s="21" customFormat="1" ht="12" customHeight="1">
      <c r="A34" s="20" t="s">
        <v>1046</v>
      </c>
      <c r="B34" s="21" t="s">
        <v>1047</v>
      </c>
      <c r="C34" s="30">
        <v>41356</v>
      </c>
      <c r="D34" s="30">
        <v>41370</v>
      </c>
      <c r="G34" s="764"/>
      <c r="J34" s="21" t="s">
        <v>51</v>
      </c>
      <c r="K34" s="21" t="s">
        <v>1048</v>
      </c>
      <c r="L34" s="21" t="s">
        <v>1049</v>
      </c>
      <c r="N34" s="50" t="s">
        <v>1050</v>
      </c>
      <c r="O34" s="1013">
        <f>2*690+3*2*14</f>
        <v>1464</v>
      </c>
      <c r="Q34" s="21" t="s">
        <v>1051</v>
      </c>
      <c r="R34" s="876">
        <v>2</v>
      </c>
      <c r="S34" s="764">
        <v>3</v>
      </c>
      <c r="T34" s="764">
        <v>2</v>
      </c>
      <c r="U34" s="88">
        <v>345</v>
      </c>
      <c r="V34" s="78">
        <v>41280</v>
      </c>
      <c r="W34" s="21" t="s">
        <v>1052</v>
      </c>
      <c r="AB34" s="49" t="s">
        <v>259</v>
      </c>
    </row>
    <row r="35" spans="1:28" s="21" customFormat="1" ht="12" customHeight="1">
      <c r="A35" s="20" t="s">
        <v>548</v>
      </c>
      <c r="B35" s="21" t="s">
        <v>549</v>
      </c>
      <c r="C35" s="30">
        <v>40012</v>
      </c>
      <c r="D35" s="30">
        <v>40026</v>
      </c>
      <c r="E35" s="21" t="s">
        <v>550</v>
      </c>
      <c r="G35" s="764">
        <v>60431</v>
      </c>
      <c r="H35" s="21" t="s">
        <v>551</v>
      </c>
      <c r="I35" s="21" t="s">
        <v>18</v>
      </c>
      <c r="J35" s="21" t="s">
        <v>51</v>
      </c>
      <c r="K35" s="21" t="s">
        <v>552</v>
      </c>
      <c r="L35" s="21" t="s">
        <v>553</v>
      </c>
      <c r="N35" s="50" t="s">
        <v>554</v>
      </c>
      <c r="O35" s="1013">
        <v>2645</v>
      </c>
      <c r="Q35" s="21" t="s">
        <v>534</v>
      </c>
      <c r="R35" s="876">
        <v>2</v>
      </c>
      <c r="S35" s="764">
        <v>5</v>
      </c>
      <c r="T35" s="764"/>
      <c r="U35" s="43">
        <v>645</v>
      </c>
      <c r="AB35" s="1140" t="s">
        <v>3093</v>
      </c>
    </row>
    <row r="36" spans="1:28" s="21" customFormat="1" ht="12" customHeight="1">
      <c r="A36" s="1232" t="s">
        <v>3381</v>
      </c>
      <c r="B36" s="923" t="s">
        <v>528</v>
      </c>
      <c r="C36" s="924">
        <v>45129</v>
      </c>
      <c r="D36" s="924">
        <v>45143</v>
      </c>
      <c r="E36" s="923" t="s">
        <v>3382</v>
      </c>
      <c r="F36" s="923"/>
      <c r="G36" s="925" t="s">
        <v>3383</v>
      </c>
      <c r="H36" s="923" t="s">
        <v>3384</v>
      </c>
      <c r="I36" s="923"/>
      <c r="J36" s="923" t="s">
        <v>51</v>
      </c>
      <c r="K36" s="926"/>
      <c r="L36" s="961" t="s">
        <v>3385</v>
      </c>
      <c r="M36" s="923"/>
      <c r="N36" s="121" t="s">
        <v>3386</v>
      </c>
      <c r="O36" s="1195">
        <f>2490*2</f>
        <v>4980</v>
      </c>
      <c r="P36" s="923"/>
      <c r="Q36" s="923" t="s">
        <v>3387</v>
      </c>
      <c r="R36" s="1196">
        <v>2</v>
      </c>
      <c r="S36" s="925">
        <v>3</v>
      </c>
      <c r="T36" s="925">
        <v>5</v>
      </c>
      <c r="U36" s="1197">
        <v>1245</v>
      </c>
      <c r="V36" s="923">
        <v>44923</v>
      </c>
      <c r="W36" s="923" t="s">
        <v>1477</v>
      </c>
      <c r="X36" s="923" t="s">
        <v>1154</v>
      </c>
      <c r="Y36" s="923" t="s">
        <v>3399</v>
      </c>
      <c r="Z36" s="923"/>
      <c r="AB36" s="128" t="s">
        <v>1943</v>
      </c>
    </row>
    <row r="37" spans="1:28" s="26" customFormat="1" ht="12" customHeight="1">
      <c r="A37" s="10" t="s">
        <v>256</v>
      </c>
      <c r="B37" s="8" t="s">
        <v>252</v>
      </c>
      <c r="C37" s="33">
        <v>38570</v>
      </c>
      <c r="D37" s="33">
        <v>38584</v>
      </c>
      <c r="E37" s="8" t="s">
        <v>253</v>
      </c>
      <c r="F37" s="8"/>
      <c r="G37" s="132">
        <v>53577</v>
      </c>
      <c r="H37" s="8" t="s">
        <v>254</v>
      </c>
      <c r="I37" s="8" t="s">
        <v>18</v>
      </c>
      <c r="J37" s="8" t="s">
        <v>51</v>
      </c>
      <c r="K37" s="8" t="s">
        <v>257</v>
      </c>
      <c r="L37" s="8" t="s">
        <v>255</v>
      </c>
      <c r="M37" s="8" t="s">
        <v>258</v>
      </c>
      <c r="N37" s="49" t="s">
        <v>259</v>
      </c>
      <c r="O37" s="1014">
        <v>2200</v>
      </c>
      <c r="P37" s="8"/>
      <c r="Q37" s="8"/>
      <c r="R37" s="685">
        <v>2</v>
      </c>
      <c r="S37" s="132">
        <v>6</v>
      </c>
      <c r="T37" s="132">
        <v>1</v>
      </c>
      <c r="U37" s="13" t="s">
        <v>232</v>
      </c>
      <c r="V37" s="8"/>
      <c r="W37" s="8"/>
      <c r="X37" s="8"/>
      <c r="Y37" s="8"/>
      <c r="Z37" s="8"/>
      <c r="AB37" s="866" t="s">
        <v>2198</v>
      </c>
    </row>
    <row r="38" spans="1:28" s="21" customFormat="1" ht="12" customHeight="1">
      <c r="A38" s="1200" t="s">
        <v>3088</v>
      </c>
      <c r="B38" s="1136" t="s">
        <v>1174</v>
      </c>
      <c r="C38" s="1137">
        <v>44765</v>
      </c>
      <c r="D38" s="1137">
        <v>44779</v>
      </c>
      <c r="E38" s="1138" t="s">
        <v>3089</v>
      </c>
      <c r="F38" s="1136"/>
      <c r="G38" s="1139" t="s">
        <v>3090</v>
      </c>
      <c r="H38" s="1138" t="s">
        <v>3091</v>
      </c>
      <c r="I38" s="1136" t="s">
        <v>18</v>
      </c>
      <c r="J38" s="1136" t="s">
        <v>51</v>
      </c>
      <c r="K38" s="1136"/>
      <c r="L38" s="1138" t="s">
        <v>3092</v>
      </c>
      <c r="M38" s="1136"/>
      <c r="N38" s="1140" t="s">
        <v>3093</v>
      </c>
      <c r="O38" s="1141">
        <f>1990*2+3*14*2+70</f>
        <v>4134</v>
      </c>
      <c r="P38" s="1136"/>
      <c r="Q38" s="1136" t="s">
        <v>3094</v>
      </c>
      <c r="R38" s="1142">
        <v>2</v>
      </c>
      <c r="S38" s="1139">
        <v>4</v>
      </c>
      <c r="T38" s="1139">
        <v>2</v>
      </c>
      <c r="U38" s="1143">
        <v>1016</v>
      </c>
      <c r="V38" s="1136">
        <v>44516</v>
      </c>
      <c r="W38" s="1136" t="s">
        <v>1477</v>
      </c>
      <c r="X38" s="1136" t="s">
        <v>1154</v>
      </c>
      <c r="Y38" s="1136"/>
      <c r="Z38" s="1136"/>
      <c r="AB38" s="365" t="s">
        <v>2228</v>
      </c>
    </row>
    <row r="39" spans="1:28" s="21" customFormat="1" ht="12" customHeight="1">
      <c r="A39" s="505" t="s">
        <v>1937</v>
      </c>
      <c r="B39" s="115" t="s">
        <v>1938</v>
      </c>
      <c r="C39" s="116">
        <v>43645</v>
      </c>
      <c r="D39" s="116">
        <v>43659</v>
      </c>
      <c r="E39" s="115" t="s">
        <v>1939</v>
      </c>
      <c r="F39" s="115"/>
      <c r="G39" s="361" t="s">
        <v>1940</v>
      </c>
      <c r="H39" s="115" t="s">
        <v>1941</v>
      </c>
      <c r="I39" s="364" t="s">
        <v>18</v>
      </c>
      <c r="J39" s="115" t="s">
        <v>51</v>
      </c>
      <c r="K39" s="115"/>
      <c r="L39" s="115" t="s">
        <v>1942</v>
      </c>
      <c r="M39" s="115"/>
      <c r="N39" s="128" t="s">
        <v>1943</v>
      </c>
      <c r="O39" s="1027">
        <f>1390+1590</f>
        <v>2980</v>
      </c>
      <c r="P39" s="115"/>
      <c r="Q39" s="115" t="s">
        <v>599</v>
      </c>
      <c r="R39" s="682">
        <v>2</v>
      </c>
      <c r="S39" s="361" t="s">
        <v>1944</v>
      </c>
      <c r="T39" s="361">
        <v>2</v>
      </c>
      <c r="U39" s="119" t="s">
        <v>2025</v>
      </c>
      <c r="V39" s="120"/>
      <c r="W39" s="115"/>
      <c r="X39" s="115"/>
      <c r="Y39" s="115"/>
      <c r="Z39" s="115"/>
      <c r="AB39" s="363" t="s">
        <v>1068</v>
      </c>
    </row>
    <row r="40" spans="1:28" s="21" customFormat="1" ht="12" customHeight="1">
      <c r="A40" s="629" t="s">
        <v>2192</v>
      </c>
      <c r="B40" s="451" t="s">
        <v>2193</v>
      </c>
      <c r="C40" s="452">
        <v>43820</v>
      </c>
      <c r="D40" s="452">
        <v>43831</v>
      </c>
      <c r="E40" s="451" t="s">
        <v>2194</v>
      </c>
      <c r="F40" s="451"/>
      <c r="G40" s="453" t="s">
        <v>2195</v>
      </c>
      <c r="H40" s="474" t="s">
        <v>2196</v>
      </c>
      <c r="I40" s="451" t="s">
        <v>18</v>
      </c>
      <c r="J40" s="451" t="s">
        <v>51</v>
      </c>
      <c r="K40" s="475"/>
      <c r="L40" s="475" t="s">
        <v>2197</v>
      </c>
      <c r="M40" s="451"/>
      <c r="N40" s="866" t="s">
        <v>2198</v>
      </c>
      <c r="O40" s="1039"/>
      <c r="P40" s="451"/>
      <c r="Q40" s="451" t="s">
        <v>2023</v>
      </c>
      <c r="R40" s="893"/>
      <c r="S40" s="453">
        <v>2</v>
      </c>
      <c r="T40" s="453">
        <v>2</v>
      </c>
      <c r="U40" s="754"/>
      <c r="V40" s="456">
        <v>43473</v>
      </c>
      <c r="W40" s="451" t="s">
        <v>1769</v>
      </c>
      <c r="X40" s="451" t="s">
        <v>1154</v>
      </c>
      <c r="Y40" s="451"/>
      <c r="Z40" s="451"/>
      <c r="AB40" s="50" t="s">
        <v>1112</v>
      </c>
    </row>
    <row r="41" spans="1:28" s="21" customFormat="1" ht="12" customHeight="1">
      <c r="A41" s="509" t="s">
        <v>527</v>
      </c>
      <c r="B41" s="355" t="s">
        <v>2223</v>
      </c>
      <c r="C41" s="357">
        <v>43582</v>
      </c>
      <c r="D41" s="357">
        <v>43596</v>
      </c>
      <c r="E41" s="355" t="s">
        <v>2224</v>
      </c>
      <c r="F41" s="355"/>
      <c r="G41" s="358" t="s">
        <v>2225</v>
      </c>
      <c r="H41" s="367" t="s">
        <v>2226</v>
      </c>
      <c r="I41" s="355" t="s">
        <v>18</v>
      </c>
      <c r="J41" s="355" t="s">
        <v>1023</v>
      </c>
      <c r="K41" s="355"/>
      <c r="L41" s="368" t="s">
        <v>2227</v>
      </c>
      <c r="M41" s="355"/>
      <c r="N41" s="365" t="s">
        <v>2228</v>
      </c>
      <c r="O41" s="1036">
        <f xml:space="preserve"> 790+890</f>
        <v>1680</v>
      </c>
      <c r="P41" s="355"/>
      <c r="Q41" s="355" t="s">
        <v>2229</v>
      </c>
      <c r="R41" s="891">
        <v>2</v>
      </c>
      <c r="S41" s="358">
        <v>2</v>
      </c>
      <c r="T41" s="358">
        <v>3</v>
      </c>
      <c r="U41" s="356" t="s">
        <v>1832</v>
      </c>
      <c r="V41" s="360"/>
      <c r="W41" s="355"/>
      <c r="X41" s="355"/>
      <c r="Y41" s="355"/>
      <c r="Z41" s="355"/>
      <c r="AB41" s="50" t="s">
        <v>930</v>
      </c>
    </row>
    <row r="42" spans="1:28" s="21" customFormat="1" ht="12" customHeight="1">
      <c r="A42" s="505" t="s">
        <v>1469</v>
      </c>
      <c r="B42" s="115" t="s">
        <v>1470</v>
      </c>
      <c r="C42" s="116">
        <v>42448</v>
      </c>
      <c r="D42" s="116">
        <v>42462</v>
      </c>
      <c r="E42" s="115" t="s">
        <v>1471</v>
      </c>
      <c r="F42" s="115"/>
      <c r="G42" s="361" t="s">
        <v>1472</v>
      </c>
      <c r="H42" s="115" t="s">
        <v>937</v>
      </c>
      <c r="I42" s="115" t="s">
        <v>18</v>
      </c>
      <c r="J42" s="115" t="s">
        <v>51</v>
      </c>
      <c r="K42" s="115" t="s">
        <v>1473</v>
      </c>
      <c r="L42" s="115" t="s">
        <v>1474</v>
      </c>
      <c r="M42" s="115"/>
      <c r="N42" s="363" t="s">
        <v>1068</v>
      </c>
      <c r="O42" s="1027">
        <f>690*2</f>
        <v>1380</v>
      </c>
      <c r="P42" s="115"/>
      <c r="Q42" s="115"/>
      <c r="R42" s="682">
        <v>2</v>
      </c>
      <c r="S42" s="361" t="s">
        <v>1476</v>
      </c>
      <c r="T42" s="361">
        <v>1</v>
      </c>
      <c r="U42" s="119">
        <v>345</v>
      </c>
      <c r="V42" s="828">
        <v>42324</v>
      </c>
      <c r="W42" s="120" t="s">
        <v>1477</v>
      </c>
      <c r="X42" s="115" t="s">
        <v>1154</v>
      </c>
      <c r="Y42" s="115"/>
      <c r="Z42" s="115"/>
      <c r="AB42" s="50" t="s">
        <v>1419</v>
      </c>
    </row>
    <row r="43" spans="1:28" s="21" customFormat="1" ht="12" customHeight="1">
      <c r="A43" s="20" t="s">
        <v>810</v>
      </c>
      <c r="B43" s="21" t="s">
        <v>1113</v>
      </c>
      <c r="C43" s="30">
        <v>41461</v>
      </c>
      <c r="D43" s="30">
        <v>41475</v>
      </c>
      <c r="E43" s="21" t="s">
        <v>1114</v>
      </c>
      <c r="G43" s="764" t="s">
        <v>1115</v>
      </c>
      <c r="H43" s="21" t="s">
        <v>1116</v>
      </c>
      <c r="I43" s="21" t="s">
        <v>18</v>
      </c>
      <c r="J43" s="21" t="s">
        <v>51</v>
      </c>
      <c r="K43" s="21" t="s">
        <v>1117</v>
      </c>
      <c r="L43" s="21" t="s">
        <v>1118</v>
      </c>
      <c r="N43" s="50" t="s">
        <v>1112</v>
      </c>
      <c r="O43" s="1013">
        <v>3000</v>
      </c>
      <c r="R43" s="876">
        <v>2</v>
      </c>
      <c r="S43" s="764" t="s">
        <v>1119</v>
      </c>
      <c r="T43" s="764"/>
      <c r="U43" s="75">
        <v>750</v>
      </c>
      <c r="V43" s="78">
        <v>41364</v>
      </c>
      <c r="W43" s="21" t="s">
        <v>1071</v>
      </c>
      <c r="AB43" s="128" t="s">
        <v>2783</v>
      </c>
    </row>
    <row r="44" spans="1:28" s="21" customFormat="1" ht="12" customHeight="1">
      <c r="A44" s="20" t="s">
        <v>931</v>
      </c>
      <c r="B44" s="21" t="s">
        <v>932</v>
      </c>
      <c r="C44" s="30">
        <v>41181</v>
      </c>
      <c r="D44" s="30">
        <v>41188</v>
      </c>
      <c r="E44" s="805"/>
      <c r="G44" s="764"/>
      <c r="H44" s="90" t="s">
        <v>995</v>
      </c>
      <c r="I44" s="21" t="s">
        <v>18</v>
      </c>
      <c r="J44" s="21" t="s">
        <v>51</v>
      </c>
      <c r="L44" s="21" t="s">
        <v>994</v>
      </c>
      <c r="N44" s="50" t="s">
        <v>930</v>
      </c>
      <c r="O44" s="1013">
        <f>890+70+21+70</f>
        <v>1051</v>
      </c>
      <c r="Q44" s="21">
        <v>2</v>
      </c>
      <c r="R44" s="876">
        <v>1</v>
      </c>
      <c r="S44" s="764">
        <v>2</v>
      </c>
      <c r="T44" s="764">
        <v>1</v>
      </c>
      <c r="U44" s="77">
        <v>225</v>
      </c>
      <c r="V44" s="78">
        <v>41034</v>
      </c>
      <c r="W44" s="21" t="s">
        <v>933</v>
      </c>
      <c r="AB44" s="128" t="s">
        <v>1735</v>
      </c>
    </row>
    <row r="45" spans="1:28" s="21" customFormat="1" ht="12" customHeight="1">
      <c r="A45" s="20" t="s">
        <v>1412</v>
      </c>
      <c r="B45" s="21" t="s">
        <v>1413</v>
      </c>
      <c r="C45" s="30">
        <v>42217</v>
      </c>
      <c r="D45" s="30">
        <v>42231</v>
      </c>
      <c r="E45" s="21" t="s">
        <v>1414</v>
      </c>
      <c r="G45" s="764" t="s">
        <v>1415</v>
      </c>
      <c r="H45" s="21" t="s">
        <v>1416</v>
      </c>
      <c r="I45" s="21" t="s">
        <v>18</v>
      </c>
      <c r="J45" s="21" t="s">
        <v>51</v>
      </c>
      <c r="K45" s="21" t="s">
        <v>1417</v>
      </c>
      <c r="L45" s="21" t="s">
        <v>1418</v>
      </c>
      <c r="N45" s="50" t="s">
        <v>1419</v>
      </c>
      <c r="O45" s="1013">
        <v>3600</v>
      </c>
      <c r="Q45" s="21" t="s">
        <v>1420</v>
      </c>
      <c r="R45" s="876">
        <v>2</v>
      </c>
      <c r="S45" s="764">
        <v>4</v>
      </c>
      <c r="T45" s="764">
        <v>1</v>
      </c>
      <c r="U45" s="75">
        <v>900</v>
      </c>
      <c r="V45" s="78">
        <v>42039</v>
      </c>
      <c r="W45" s="21" t="s">
        <v>791</v>
      </c>
      <c r="X45" s="21" t="s">
        <v>1217</v>
      </c>
      <c r="AB45" s="128" t="s">
        <v>1865</v>
      </c>
    </row>
    <row r="46" spans="1:28" s="21" customFormat="1" ht="12" customHeight="1">
      <c r="A46" s="505" t="s">
        <v>2776</v>
      </c>
      <c r="B46" s="115" t="s">
        <v>2777</v>
      </c>
      <c r="C46" s="116">
        <v>44408</v>
      </c>
      <c r="D46" s="116">
        <v>44422</v>
      </c>
      <c r="E46" s="115" t="s">
        <v>2778</v>
      </c>
      <c r="F46" s="115"/>
      <c r="G46" s="361" t="s">
        <v>2779</v>
      </c>
      <c r="H46" s="115" t="s">
        <v>2780</v>
      </c>
      <c r="I46" s="115" t="s">
        <v>18</v>
      </c>
      <c r="J46" s="115" t="s">
        <v>51</v>
      </c>
      <c r="K46" s="124" t="s">
        <v>2781</v>
      </c>
      <c r="L46" s="115" t="s">
        <v>2782</v>
      </c>
      <c r="M46" s="115"/>
      <c r="N46" s="128" t="s">
        <v>2783</v>
      </c>
      <c r="O46" s="1027">
        <f>1990*2+70</f>
        <v>4050</v>
      </c>
      <c r="P46" s="115"/>
      <c r="Q46" s="115" t="s">
        <v>1244</v>
      </c>
      <c r="R46" s="682">
        <v>2</v>
      </c>
      <c r="S46" s="361">
        <v>4</v>
      </c>
      <c r="T46" s="361">
        <v>1</v>
      </c>
      <c r="U46" s="918">
        <v>1012.5</v>
      </c>
      <c r="V46" s="115">
        <v>44158</v>
      </c>
      <c r="W46" s="115" t="s">
        <v>1477</v>
      </c>
      <c r="X46" s="115" t="s">
        <v>1154</v>
      </c>
      <c r="Y46" s="115"/>
      <c r="Z46" s="115"/>
      <c r="AB46" s="121" t="s">
        <v>3279</v>
      </c>
    </row>
    <row r="47" spans="1:28" s="21" customFormat="1" ht="12" customHeight="1">
      <c r="A47" s="505" t="s">
        <v>1730</v>
      </c>
      <c r="B47" s="115" t="s">
        <v>1731</v>
      </c>
      <c r="C47" s="116">
        <v>42868</v>
      </c>
      <c r="D47" s="116">
        <v>42882</v>
      </c>
      <c r="E47" s="115" t="s">
        <v>1732</v>
      </c>
      <c r="F47" s="115"/>
      <c r="G47" s="361" t="s">
        <v>1733</v>
      </c>
      <c r="H47" s="115"/>
      <c r="I47" s="115" t="s">
        <v>18</v>
      </c>
      <c r="J47" s="115" t="s">
        <v>51</v>
      </c>
      <c r="K47" s="115"/>
      <c r="L47" s="115" t="s">
        <v>1734</v>
      </c>
      <c r="M47" s="115"/>
      <c r="N47" s="128" t="s">
        <v>1735</v>
      </c>
      <c r="O47" s="1027">
        <v>1400</v>
      </c>
      <c r="P47" s="115"/>
      <c r="Q47" s="115" t="s">
        <v>1736</v>
      </c>
      <c r="R47" s="682">
        <v>2</v>
      </c>
      <c r="S47" s="361">
        <v>2</v>
      </c>
      <c r="T47" s="361">
        <v>2</v>
      </c>
      <c r="U47" s="119">
        <v>347.5</v>
      </c>
      <c r="V47" s="120"/>
      <c r="W47" s="115"/>
      <c r="X47" s="115"/>
      <c r="Y47" s="115"/>
      <c r="Z47" s="115"/>
      <c r="AB47" s="128" t="s">
        <v>1577</v>
      </c>
    </row>
    <row r="48" spans="1:28" s="21" customFormat="1" ht="12" customHeight="1">
      <c r="A48" s="505" t="s">
        <v>1861</v>
      </c>
      <c r="B48" s="115" t="s">
        <v>1860</v>
      </c>
      <c r="C48" s="116">
        <v>43246</v>
      </c>
      <c r="D48" s="116">
        <v>43253</v>
      </c>
      <c r="E48" s="115" t="s">
        <v>1859</v>
      </c>
      <c r="F48" s="115"/>
      <c r="G48" s="361" t="s">
        <v>1863</v>
      </c>
      <c r="H48" s="364" t="s">
        <v>1862</v>
      </c>
      <c r="I48" s="115" t="s">
        <v>18</v>
      </c>
      <c r="J48" s="115" t="s">
        <v>51</v>
      </c>
      <c r="K48" s="115" t="s">
        <v>1864</v>
      </c>
      <c r="L48" s="124"/>
      <c r="M48" s="115"/>
      <c r="N48" s="128" t="s">
        <v>1865</v>
      </c>
      <c r="O48" s="1027">
        <f>1090+70+21</f>
        <v>1181</v>
      </c>
      <c r="P48" s="115"/>
      <c r="Q48" s="115" t="s">
        <v>1922</v>
      </c>
      <c r="R48" s="682">
        <v>1</v>
      </c>
      <c r="S48" s="361" t="s">
        <v>1401</v>
      </c>
      <c r="T48" s="361">
        <v>3</v>
      </c>
      <c r="U48" s="119">
        <v>272.5</v>
      </c>
      <c r="V48" s="120"/>
      <c r="W48" s="115" t="s">
        <v>1769</v>
      </c>
      <c r="X48" s="115" t="s">
        <v>1154</v>
      </c>
      <c r="Y48" s="115"/>
      <c r="Z48" s="115"/>
      <c r="AB48" s="874" t="s">
        <v>2384</v>
      </c>
    </row>
    <row r="49" spans="1:28" ht="12" customHeight="1" thickBot="1">
      <c r="A49" s="505" t="s">
        <v>3273</v>
      </c>
      <c r="B49" s="115" t="s">
        <v>3274</v>
      </c>
      <c r="C49" s="116">
        <v>45073</v>
      </c>
      <c r="D49" s="116">
        <v>45094</v>
      </c>
      <c r="E49" s="115" t="s">
        <v>3275</v>
      </c>
      <c r="F49" s="115"/>
      <c r="G49" s="361" t="s">
        <v>3276</v>
      </c>
      <c r="H49" s="115" t="s">
        <v>3277</v>
      </c>
      <c r="I49" s="115" t="s">
        <v>168</v>
      </c>
      <c r="J49" s="115" t="s">
        <v>1023</v>
      </c>
      <c r="K49" s="115"/>
      <c r="L49" s="115" t="s">
        <v>3278</v>
      </c>
      <c r="M49" s="115"/>
      <c r="N49" s="121" t="s">
        <v>3279</v>
      </c>
      <c r="O49" s="1027">
        <f>1390+1590+1590</f>
        <v>4570</v>
      </c>
      <c r="P49" s="115" t="s">
        <v>3280</v>
      </c>
      <c r="Q49" s="115" t="s">
        <v>1025</v>
      </c>
      <c r="R49" s="682">
        <v>3</v>
      </c>
      <c r="S49" s="361">
        <v>2</v>
      </c>
      <c r="T49" s="361">
        <v>1</v>
      </c>
      <c r="U49" s="119">
        <f>4570/4</f>
        <v>1142.5</v>
      </c>
      <c r="V49" s="120">
        <v>45095</v>
      </c>
      <c r="W49" s="115" t="s">
        <v>1338</v>
      </c>
      <c r="X49" s="115" t="s">
        <v>1154</v>
      </c>
      <c r="Y49" s="115"/>
      <c r="Z49" s="115"/>
      <c r="AB49" s="128" t="s">
        <v>1676</v>
      </c>
    </row>
    <row r="50" spans="1:28" ht="12" hidden="1" customHeight="1" thickBot="1">
      <c r="A50" s="517" t="s">
        <v>1508</v>
      </c>
      <c r="B50" s="539" t="s">
        <v>1509</v>
      </c>
      <c r="C50" s="116">
        <v>42567</v>
      </c>
      <c r="D50" s="651">
        <v>42581</v>
      </c>
      <c r="E50" s="539" t="s">
        <v>1510</v>
      </c>
      <c r="F50" s="115"/>
      <c r="G50" s="361" t="s">
        <v>1511</v>
      </c>
      <c r="H50" s="115" t="s">
        <v>1512</v>
      </c>
      <c r="I50" s="115" t="s">
        <v>18</v>
      </c>
      <c r="J50" s="115" t="s">
        <v>51</v>
      </c>
      <c r="K50" s="115" t="s">
        <v>1513</v>
      </c>
      <c r="L50" s="115" t="s">
        <v>1514</v>
      </c>
      <c r="M50" s="115"/>
      <c r="N50" s="128" t="s">
        <v>1577</v>
      </c>
      <c r="O50" s="1027">
        <f>1990*2+3*3*14</f>
        <v>4106</v>
      </c>
      <c r="P50" s="115"/>
      <c r="Q50" s="115" t="s">
        <v>1516</v>
      </c>
      <c r="R50" s="682">
        <v>2</v>
      </c>
      <c r="S50" s="361" t="s">
        <v>1517</v>
      </c>
      <c r="T50" s="361">
        <v>3</v>
      </c>
      <c r="U50" s="119">
        <f xml:space="preserve"> 995</f>
        <v>995</v>
      </c>
      <c r="V50" s="120"/>
      <c r="W50" s="115"/>
      <c r="X50" s="115"/>
      <c r="Y50" s="115"/>
      <c r="Z50" s="115"/>
      <c r="AB50" s="874" t="s">
        <v>2384</v>
      </c>
    </row>
    <row r="51" spans="1:28" ht="12" customHeight="1" thickBot="1">
      <c r="A51" s="1261" t="s">
        <v>2379</v>
      </c>
      <c r="B51" s="1287" t="s">
        <v>1669</v>
      </c>
      <c r="C51" s="1301">
        <v>44366</v>
      </c>
      <c r="D51" s="1321">
        <v>44380</v>
      </c>
      <c r="E51" s="1338" t="s">
        <v>2380</v>
      </c>
      <c r="F51" s="689"/>
      <c r="G51" s="691" t="s">
        <v>2381</v>
      </c>
      <c r="H51" s="692" t="s">
        <v>2382</v>
      </c>
      <c r="I51" s="689" t="s">
        <v>18</v>
      </c>
      <c r="J51" s="689" t="s">
        <v>51</v>
      </c>
      <c r="K51" s="689"/>
      <c r="L51" s="693" t="s">
        <v>2383</v>
      </c>
      <c r="M51" s="689"/>
      <c r="N51" s="874" t="s">
        <v>2384</v>
      </c>
      <c r="O51" s="1041">
        <f>1590+1990-895*3</f>
        <v>895</v>
      </c>
      <c r="P51" s="689"/>
      <c r="Q51" s="689" t="s">
        <v>2023</v>
      </c>
      <c r="R51" s="696">
        <v>0</v>
      </c>
      <c r="S51" s="691">
        <v>2</v>
      </c>
      <c r="T51" s="691">
        <v>2</v>
      </c>
      <c r="U51" s="753" t="s">
        <v>2385</v>
      </c>
      <c r="V51" s="695">
        <v>43759</v>
      </c>
      <c r="W51" s="689" t="s">
        <v>1769</v>
      </c>
      <c r="X51" s="689" t="s">
        <v>1154</v>
      </c>
      <c r="Y51" s="689"/>
      <c r="Z51" s="689"/>
      <c r="AB51" s="128" t="s">
        <v>1785</v>
      </c>
    </row>
    <row r="52" spans="1:28" ht="12" hidden="1" customHeight="1" thickBot="1">
      <c r="A52" s="698" t="s">
        <v>2379</v>
      </c>
      <c r="B52" s="689" t="s">
        <v>1669</v>
      </c>
      <c r="C52" s="690">
        <v>44695</v>
      </c>
      <c r="D52" s="1321">
        <v>44702</v>
      </c>
      <c r="E52" s="1338" t="s">
        <v>2380</v>
      </c>
      <c r="F52" s="689"/>
      <c r="G52" s="691" t="s">
        <v>2381</v>
      </c>
      <c r="H52" s="692" t="s">
        <v>2382</v>
      </c>
      <c r="I52" s="689" t="s">
        <v>18</v>
      </c>
      <c r="J52" s="689" t="s">
        <v>51</v>
      </c>
      <c r="K52" s="689"/>
      <c r="L52" s="693" t="s">
        <v>2383</v>
      </c>
      <c r="M52" s="689"/>
      <c r="N52" s="874" t="s">
        <v>2384</v>
      </c>
      <c r="O52" s="1041">
        <v>600</v>
      </c>
      <c r="P52" s="689"/>
      <c r="Q52" s="689" t="s">
        <v>2023</v>
      </c>
      <c r="R52" s="696">
        <v>1</v>
      </c>
      <c r="S52" s="691">
        <v>2</v>
      </c>
      <c r="T52" s="691">
        <v>2</v>
      </c>
      <c r="U52" s="753" t="s">
        <v>2385</v>
      </c>
      <c r="V52" s="695">
        <v>43759</v>
      </c>
      <c r="W52" s="689" t="s">
        <v>3159</v>
      </c>
      <c r="X52" s="689" t="s">
        <v>1154</v>
      </c>
      <c r="Y52" s="689"/>
      <c r="Z52" s="689"/>
      <c r="AB52" s="128" t="s">
        <v>1676</v>
      </c>
    </row>
    <row r="53" spans="1:28" ht="12" customHeight="1" thickBot="1">
      <c r="A53" s="717" t="s">
        <v>1589</v>
      </c>
      <c r="B53" s="729" t="s">
        <v>1588</v>
      </c>
      <c r="C53" s="116">
        <v>42581</v>
      </c>
      <c r="D53" s="561">
        <v>42588</v>
      </c>
      <c r="E53" s="543"/>
      <c r="F53" s="115"/>
      <c r="G53" s="361"/>
      <c r="H53" s="115"/>
      <c r="I53" s="115" t="s">
        <v>18</v>
      </c>
      <c r="J53" s="115" t="s">
        <v>51</v>
      </c>
      <c r="K53" s="115"/>
      <c r="L53" s="830" t="s">
        <v>1593</v>
      </c>
      <c r="M53" s="115"/>
      <c r="N53" s="128" t="s">
        <v>1676</v>
      </c>
      <c r="O53" s="1027">
        <f>2289-343.35</f>
        <v>1945.65</v>
      </c>
      <c r="P53" s="115"/>
      <c r="Q53" s="115" t="s">
        <v>1591</v>
      </c>
      <c r="R53" s="682">
        <v>1</v>
      </c>
      <c r="S53" s="361">
        <v>5</v>
      </c>
      <c r="T53" s="361">
        <v>2</v>
      </c>
      <c r="U53" s="119"/>
      <c r="V53" s="120">
        <v>42551</v>
      </c>
      <c r="W53" s="115" t="s">
        <v>1592</v>
      </c>
      <c r="X53" s="115" t="s">
        <v>1154</v>
      </c>
      <c r="Y53" s="115"/>
      <c r="Z53" s="115"/>
      <c r="AB53" s="1782" t="s">
        <v>270</v>
      </c>
    </row>
    <row r="54" spans="1:28" ht="12" customHeight="1" thickBot="1">
      <c r="A54" s="505" t="s">
        <v>1669</v>
      </c>
      <c r="B54" s="115" t="s">
        <v>1670</v>
      </c>
      <c r="C54" s="116">
        <v>42938</v>
      </c>
      <c r="D54" s="561">
        <v>42945</v>
      </c>
      <c r="E54" s="543" t="s">
        <v>1671</v>
      </c>
      <c r="F54" s="115"/>
      <c r="G54" s="361" t="s">
        <v>1672</v>
      </c>
      <c r="H54" s="115" t="s">
        <v>1673</v>
      </c>
      <c r="I54" s="115" t="s">
        <v>1674</v>
      </c>
      <c r="J54" s="115" t="s">
        <v>1023</v>
      </c>
      <c r="K54" s="115" t="s">
        <v>1675</v>
      </c>
      <c r="L54" s="115"/>
      <c r="M54" s="115"/>
      <c r="N54" s="128" t="s">
        <v>1676</v>
      </c>
      <c r="O54" s="1027">
        <v>1990</v>
      </c>
      <c r="P54" s="115"/>
      <c r="Q54" s="115" t="s">
        <v>1677</v>
      </c>
      <c r="R54" s="682">
        <v>1</v>
      </c>
      <c r="S54" s="361">
        <v>3</v>
      </c>
      <c r="T54" s="361">
        <v>1</v>
      </c>
      <c r="U54" s="119">
        <v>500</v>
      </c>
      <c r="V54" s="120">
        <v>42761</v>
      </c>
      <c r="W54" s="115" t="s">
        <v>1678</v>
      </c>
      <c r="X54" s="115" t="s">
        <v>1154</v>
      </c>
      <c r="Y54" s="115"/>
      <c r="Z54" s="115"/>
      <c r="AB54" s="995" t="s">
        <v>2221</v>
      </c>
    </row>
    <row r="55" spans="1:28" ht="12" customHeight="1" thickBot="1">
      <c r="A55" s="505" t="s">
        <v>1778</v>
      </c>
      <c r="B55" s="115" t="s">
        <v>1779</v>
      </c>
      <c r="C55" s="116">
        <v>43008</v>
      </c>
      <c r="D55" s="568">
        <v>43022</v>
      </c>
      <c r="E55" s="535" t="s">
        <v>1780</v>
      </c>
      <c r="F55" s="115"/>
      <c r="G55" s="361" t="s">
        <v>1781</v>
      </c>
      <c r="H55" s="115" t="s">
        <v>1782</v>
      </c>
      <c r="I55" s="115" t="s">
        <v>18</v>
      </c>
      <c r="J55" s="115" t="s">
        <v>51</v>
      </c>
      <c r="K55" s="115" t="s">
        <v>1784</v>
      </c>
      <c r="L55" s="115" t="s">
        <v>1783</v>
      </c>
      <c r="M55" s="115"/>
      <c r="N55" s="128" t="s">
        <v>1785</v>
      </c>
      <c r="O55" s="1027">
        <v>1680</v>
      </c>
      <c r="P55" s="115"/>
      <c r="Q55" s="115" t="s">
        <v>1786</v>
      </c>
      <c r="R55" s="682">
        <v>2</v>
      </c>
      <c r="S55" s="361">
        <v>2</v>
      </c>
      <c r="T55" s="361">
        <v>3</v>
      </c>
      <c r="U55" s="119">
        <v>420</v>
      </c>
      <c r="V55" s="115"/>
      <c r="W55" s="115" t="s">
        <v>1760</v>
      </c>
      <c r="X55" s="115"/>
      <c r="Y55" s="115"/>
      <c r="Z55" s="115"/>
      <c r="AB55" s="365" t="s">
        <v>2361</v>
      </c>
    </row>
    <row r="56" spans="1:28" ht="12" customHeight="1" thickBot="1">
      <c r="A56" s="519" t="s">
        <v>269</v>
      </c>
      <c r="B56" s="778" t="s">
        <v>268</v>
      </c>
      <c r="C56" s="1291">
        <v>38430</v>
      </c>
      <c r="D56" s="1326">
        <v>38444</v>
      </c>
      <c r="E56" s="541" t="s">
        <v>320</v>
      </c>
      <c r="F56" s="778"/>
      <c r="G56" s="779">
        <v>46342</v>
      </c>
      <c r="H56" s="778" t="s">
        <v>321</v>
      </c>
      <c r="I56" s="778" t="s">
        <v>18</v>
      </c>
      <c r="J56" s="778" t="s">
        <v>51</v>
      </c>
      <c r="K56" s="778" t="s">
        <v>322</v>
      </c>
      <c r="L56" s="778" t="s">
        <v>323</v>
      </c>
      <c r="M56" s="778"/>
      <c r="N56" s="996" t="s">
        <v>270</v>
      </c>
      <c r="O56" s="1347">
        <f>460*2</f>
        <v>920</v>
      </c>
      <c r="P56" s="778"/>
      <c r="Q56" s="778"/>
      <c r="R56" s="877">
        <v>2</v>
      </c>
      <c r="S56" s="779">
        <v>2</v>
      </c>
      <c r="T56" s="779">
        <v>2</v>
      </c>
      <c r="U56" s="541" t="s">
        <v>232</v>
      </c>
      <c r="AB56" s="1784" t="s">
        <v>2310</v>
      </c>
    </row>
    <row r="57" spans="1:28" ht="12" customHeight="1">
      <c r="A57" s="505" t="s">
        <v>2215</v>
      </c>
      <c r="B57" s="115" t="s">
        <v>2216</v>
      </c>
      <c r="C57" s="116">
        <v>43743</v>
      </c>
      <c r="D57" s="116">
        <v>43750</v>
      </c>
      <c r="E57" s="115" t="s">
        <v>2217</v>
      </c>
      <c r="F57" s="115"/>
      <c r="G57" s="361" t="s">
        <v>2218</v>
      </c>
      <c r="H57" s="115" t="s">
        <v>2219</v>
      </c>
      <c r="I57" s="115" t="s">
        <v>18</v>
      </c>
      <c r="J57" s="115" t="s">
        <v>51</v>
      </c>
      <c r="K57" s="115"/>
      <c r="L57" s="115" t="s">
        <v>2220</v>
      </c>
      <c r="M57" s="115"/>
      <c r="N57" s="128" t="s">
        <v>2221</v>
      </c>
      <c r="O57" s="1027">
        <v>890</v>
      </c>
      <c r="P57" s="115"/>
      <c r="Q57" s="115" t="s">
        <v>2222</v>
      </c>
      <c r="R57" s="682">
        <v>1</v>
      </c>
      <c r="S57" s="361">
        <v>6</v>
      </c>
      <c r="T57" s="361">
        <v>2</v>
      </c>
      <c r="U57" s="598"/>
      <c r="V57" s="120"/>
      <c r="W57" s="115"/>
      <c r="X57" s="115"/>
      <c r="Y57" s="115"/>
      <c r="Z57" s="115"/>
      <c r="AB57" s="1785" t="s">
        <v>1701</v>
      </c>
    </row>
    <row r="58" spans="1:28" ht="12" hidden="1" customHeight="1" thickBot="1">
      <c r="A58" s="355" t="s">
        <v>2355</v>
      </c>
      <c r="B58" s="355" t="s">
        <v>2356</v>
      </c>
      <c r="C58" s="357">
        <v>43708</v>
      </c>
      <c r="D58" s="357">
        <v>43715</v>
      </c>
      <c r="E58" s="355" t="s">
        <v>2357</v>
      </c>
      <c r="F58" s="355"/>
      <c r="G58" s="358" t="s">
        <v>2358</v>
      </c>
      <c r="H58" s="355" t="s">
        <v>2359</v>
      </c>
      <c r="I58" s="355" t="s">
        <v>18</v>
      </c>
      <c r="J58" s="355" t="s">
        <v>1023</v>
      </c>
      <c r="K58" s="355"/>
      <c r="L58" s="355" t="s">
        <v>2360</v>
      </c>
      <c r="M58" s="355"/>
      <c r="N58" s="365" t="s">
        <v>2361</v>
      </c>
      <c r="O58" s="1036">
        <f>1100+70+63</f>
        <v>1233</v>
      </c>
      <c r="P58" s="355"/>
      <c r="Q58" s="355" t="s">
        <v>2362</v>
      </c>
      <c r="R58" s="891">
        <v>1</v>
      </c>
      <c r="S58" s="358">
        <v>2</v>
      </c>
      <c r="T58" s="358">
        <v>3</v>
      </c>
      <c r="U58" s="478" t="s">
        <v>1154</v>
      </c>
      <c r="V58" s="360">
        <v>43703</v>
      </c>
      <c r="W58" s="355" t="s">
        <v>1477</v>
      </c>
      <c r="X58" s="355"/>
      <c r="Y58" s="355"/>
      <c r="Z58" s="355"/>
      <c r="AB58" s="957" t="s">
        <v>2310</v>
      </c>
    </row>
    <row r="59" spans="1:28" ht="12" hidden="1" customHeight="1">
      <c r="A59" s="1263" t="s">
        <v>2304</v>
      </c>
      <c r="B59" s="1288" t="s">
        <v>1772</v>
      </c>
      <c r="C59" s="1302">
        <v>43954</v>
      </c>
      <c r="D59" s="1302">
        <v>43968</v>
      </c>
      <c r="E59" s="1288" t="s">
        <v>2305</v>
      </c>
      <c r="F59" s="1288"/>
      <c r="G59" s="1342" t="s">
        <v>2306</v>
      </c>
      <c r="H59" s="1288" t="s">
        <v>2307</v>
      </c>
      <c r="I59" s="1288" t="s">
        <v>18</v>
      </c>
      <c r="J59" s="1288" t="s">
        <v>1023</v>
      </c>
      <c r="K59" s="1288" t="s">
        <v>2309</v>
      </c>
      <c r="L59" s="1288" t="s">
        <v>2308</v>
      </c>
      <c r="M59" s="1288"/>
      <c r="N59" s="1345" t="s">
        <v>2310</v>
      </c>
      <c r="O59" s="1351">
        <v>0</v>
      </c>
      <c r="P59" s="1288"/>
      <c r="Q59" s="1288" t="s">
        <v>2294</v>
      </c>
      <c r="R59" s="1354"/>
      <c r="S59" s="1342">
        <v>4</v>
      </c>
      <c r="T59" s="1342">
        <v>3</v>
      </c>
      <c r="U59" s="1385" t="s">
        <v>2317</v>
      </c>
      <c r="V59" s="695"/>
      <c r="W59" s="689"/>
      <c r="X59" s="689"/>
      <c r="Y59" s="689"/>
      <c r="Z59" s="689"/>
      <c r="AB59" s="874" t="s">
        <v>2310</v>
      </c>
    </row>
    <row r="60" spans="1:28" s="21" customFormat="1" ht="12" hidden="1" customHeight="1">
      <c r="A60" s="1257" t="s">
        <v>2304</v>
      </c>
      <c r="B60" s="954" t="s">
        <v>1772</v>
      </c>
      <c r="C60" s="955">
        <v>44317</v>
      </c>
      <c r="D60" s="955">
        <v>44331</v>
      </c>
      <c r="E60" s="954" t="s">
        <v>2305</v>
      </c>
      <c r="F60" s="954"/>
      <c r="G60" s="956" t="s">
        <v>2306</v>
      </c>
      <c r="H60" s="954" t="s">
        <v>2307</v>
      </c>
      <c r="I60" s="954" t="s">
        <v>18</v>
      </c>
      <c r="J60" s="954" t="s">
        <v>1023</v>
      </c>
      <c r="K60" s="954" t="s">
        <v>2309</v>
      </c>
      <c r="L60" s="954" t="s">
        <v>2308</v>
      </c>
      <c r="M60" s="954"/>
      <c r="N60" s="957" t="s">
        <v>2310</v>
      </c>
      <c r="O60" s="1045"/>
      <c r="P60" s="954"/>
      <c r="Q60" s="954" t="s">
        <v>2294</v>
      </c>
      <c r="R60" s="958"/>
      <c r="S60" s="956">
        <v>4</v>
      </c>
      <c r="T60" s="956">
        <v>3</v>
      </c>
      <c r="U60" s="1381" t="s">
        <v>2317</v>
      </c>
      <c r="V60" s="959"/>
      <c r="W60" s="954"/>
      <c r="X60" s="954"/>
      <c r="Y60" s="954"/>
      <c r="Z60" s="954"/>
      <c r="AB60" s="128" t="s">
        <v>2310</v>
      </c>
    </row>
    <row r="61" spans="1:28" s="21" customFormat="1" ht="12" customHeight="1">
      <c r="A61" s="698" t="s">
        <v>2304</v>
      </c>
      <c r="B61" s="689" t="s">
        <v>1772</v>
      </c>
      <c r="C61" s="690">
        <v>44681</v>
      </c>
      <c r="D61" s="690">
        <v>44695</v>
      </c>
      <c r="E61" s="689" t="s">
        <v>2305</v>
      </c>
      <c r="F61" s="689"/>
      <c r="G61" s="691" t="s">
        <v>2306</v>
      </c>
      <c r="H61" s="689" t="s">
        <v>2307</v>
      </c>
      <c r="I61" s="689" t="s">
        <v>18</v>
      </c>
      <c r="J61" s="689" t="s">
        <v>1023</v>
      </c>
      <c r="K61" s="689" t="s">
        <v>2309</v>
      </c>
      <c r="L61" s="689" t="s">
        <v>2308</v>
      </c>
      <c r="M61" s="689"/>
      <c r="N61" s="874" t="s">
        <v>2310</v>
      </c>
      <c r="O61" s="1041">
        <f>990*2+3*14*3+70</f>
        <v>2176</v>
      </c>
      <c r="P61" s="689"/>
      <c r="Q61" s="689" t="s">
        <v>3118</v>
      </c>
      <c r="R61" s="696">
        <v>2</v>
      </c>
      <c r="S61" s="691">
        <v>4</v>
      </c>
      <c r="T61" s="691">
        <v>3</v>
      </c>
      <c r="U61" s="753" t="s">
        <v>2317</v>
      </c>
      <c r="V61" s="695" t="s">
        <v>2892</v>
      </c>
      <c r="W61" s="689"/>
      <c r="X61" s="689"/>
      <c r="Y61" s="689"/>
      <c r="Z61" s="689"/>
      <c r="AB61" s="50" t="s">
        <v>786</v>
      </c>
    </row>
    <row r="62" spans="1:28" s="21" customFormat="1" ht="12" hidden="1" customHeight="1">
      <c r="A62" s="505" t="s">
        <v>2304</v>
      </c>
      <c r="B62" s="115" t="s">
        <v>1772</v>
      </c>
      <c r="C62" s="116">
        <v>45045</v>
      </c>
      <c r="D62" s="116">
        <v>45059</v>
      </c>
      <c r="E62" s="115" t="s">
        <v>2305</v>
      </c>
      <c r="F62" s="115"/>
      <c r="G62" s="361" t="s">
        <v>2306</v>
      </c>
      <c r="H62" s="115" t="s">
        <v>2307</v>
      </c>
      <c r="I62" s="115" t="s">
        <v>18</v>
      </c>
      <c r="J62" s="115" t="s">
        <v>1023</v>
      </c>
      <c r="K62" s="115" t="s">
        <v>2309</v>
      </c>
      <c r="L62" s="115" t="s">
        <v>2308</v>
      </c>
      <c r="M62" s="115"/>
      <c r="N62" s="128" t="s">
        <v>2310</v>
      </c>
      <c r="O62" s="1027">
        <f>1290*2</f>
        <v>2580</v>
      </c>
      <c r="P62" s="115"/>
      <c r="Q62" s="115" t="s">
        <v>3195</v>
      </c>
      <c r="R62" s="682">
        <v>2</v>
      </c>
      <c r="S62" s="361">
        <v>3</v>
      </c>
      <c r="T62" s="361">
        <v>2</v>
      </c>
      <c r="U62" s="119">
        <v>645</v>
      </c>
      <c r="V62" s="120" t="s">
        <v>3238</v>
      </c>
      <c r="W62" s="115"/>
      <c r="X62" s="115"/>
      <c r="Y62" s="115" t="s">
        <v>3263</v>
      </c>
      <c r="Z62" s="115"/>
      <c r="AB62" s="860" t="s">
        <v>1701</v>
      </c>
    </row>
    <row r="63" spans="1:28" s="21" customFormat="1" ht="12" customHeight="1">
      <c r="A63" s="505" t="s">
        <v>1619</v>
      </c>
      <c r="B63" s="115" t="s">
        <v>1602</v>
      </c>
      <c r="C63" s="116">
        <v>42616</v>
      </c>
      <c r="D63" s="116">
        <v>42623</v>
      </c>
      <c r="E63" s="115" t="s">
        <v>1608</v>
      </c>
      <c r="F63" s="115"/>
      <c r="G63" s="361" t="s">
        <v>1610</v>
      </c>
      <c r="H63" s="115" t="s">
        <v>1609</v>
      </c>
      <c r="I63" s="115" t="s">
        <v>18</v>
      </c>
      <c r="J63" s="115" t="s">
        <v>51</v>
      </c>
      <c r="K63" s="115" t="s">
        <v>1611</v>
      </c>
      <c r="L63" s="124" t="s">
        <v>1612</v>
      </c>
      <c r="M63" s="115"/>
      <c r="N63" s="860" t="s">
        <v>1701</v>
      </c>
      <c r="O63" s="1027">
        <v>1390</v>
      </c>
      <c r="P63" s="115"/>
      <c r="Q63" s="115" t="s">
        <v>199</v>
      </c>
      <c r="R63" s="682">
        <v>1</v>
      </c>
      <c r="S63" s="361" t="s">
        <v>1616</v>
      </c>
      <c r="T63" s="361">
        <v>2</v>
      </c>
      <c r="U63" s="119">
        <v>347.5</v>
      </c>
      <c r="V63" s="120"/>
      <c r="W63" s="115"/>
      <c r="X63" s="115"/>
      <c r="Y63" s="115"/>
      <c r="Z63" s="115"/>
      <c r="AB63" s="875" t="s">
        <v>2293</v>
      </c>
    </row>
    <row r="64" spans="1:28" s="21" customFormat="1" ht="12" customHeight="1">
      <c r="A64" s="1251" t="s">
        <v>1700</v>
      </c>
      <c r="B64" s="838" t="s">
        <v>1699</v>
      </c>
      <c r="C64" s="839">
        <v>42980</v>
      </c>
      <c r="D64" s="839">
        <v>42987</v>
      </c>
      <c r="E64" s="838" t="s">
        <v>1702</v>
      </c>
      <c r="F64" s="838"/>
      <c r="G64" s="840" t="s">
        <v>1704</v>
      </c>
      <c r="H64" s="838" t="s">
        <v>1703</v>
      </c>
      <c r="I64" s="838" t="s">
        <v>18</v>
      </c>
      <c r="J64" s="838" t="s">
        <v>51</v>
      </c>
      <c r="K64" s="838"/>
      <c r="L64" s="838" t="s">
        <v>1705</v>
      </c>
      <c r="M64" s="838"/>
      <c r="N64" s="860" t="s">
        <v>1701</v>
      </c>
      <c r="O64" s="1029">
        <v>1390</v>
      </c>
      <c r="P64" s="838"/>
      <c r="Q64" s="838" t="s">
        <v>1729</v>
      </c>
      <c r="R64" s="887">
        <v>1</v>
      </c>
      <c r="S64" s="840">
        <v>2</v>
      </c>
      <c r="T64" s="840">
        <v>3</v>
      </c>
      <c r="U64" s="843">
        <v>347.5</v>
      </c>
      <c r="V64" s="844">
        <v>42795</v>
      </c>
      <c r="W64" s="838" t="s">
        <v>1651</v>
      </c>
      <c r="X64" s="838" t="s">
        <v>1154</v>
      </c>
      <c r="Y64" s="838"/>
      <c r="Z64" s="838"/>
      <c r="AB64" s="50" t="s">
        <v>615</v>
      </c>
    </row>
    <row r="65" spans="1:28" s="21" customFormat="1" ht="12" customHeight="1">
      <c r="A65" s="20" t="s">
        <v>785</v>
      </c>
      <c r="B65" s="21" t="s">
        <v>830</v>
      </c>
      <c r="C65" s="30">
        <v>41062</v>
      </c>
      <c r="D65" s="30">
        <v>41083</v>
      </c>
      <c r="G65" s="764" t="s">
        <v>787</v>
      </c>
      <c r="H65" s="21" t="s">
        <v>788</v>
      </c>
      <c r="I65" s="21" t="s">
        <v>18</v>
      </c>
      <c r="J65" s="21" t="s">
        <v>51</v>
      </c>
      <c r="K65" s="21" t="s">
        <v>789</v>
      </c>
      <c r="L65" s="21" t="s">
        <v>790</v>
      </c>
      <c r="N65" s="50" t="s">
        <v>786</v>
      </c>
      <c r="O65" s="1013">
        <f>890+1090+1190+3*2*21</f>
        <v>3296</v>
      </c>
      <c r="Q65" s="21" t="s">
        <v>791</v>
      </c>
      <c r="R65" s="876">
        <v>3</v>
      </c>
      <c r="S65" s="764">
        <v>3</v>
      </c>
      <c r="T65" s="764">
        <v>2</v>
      </c>
      <c r="U65" s="75">
        <v>792.5</v>
      </c>
      <c r="W65" s="21" t="s">
        <v>791</v>
      </c>
      <c r="AB65" s="1115" t="s">
        <v>3192</v>
      </c>
    </row>
    <row r="66" spans="1:28" s="21" customFormat="1" ht="12" customHeight="1">
      <c r="A66" s="1254" t="s">
        <v>2288</v>
      </c>
      <c r="B66" s="699" t="s">
        <v>2287</v>
      </c>
      <c r="C66" s="700">
        <v>43974</v>
      </c>
      <c r="D66" s="700">
        <v>43988</v>
      </c>
      <c r="E66" s="699" t="s">
        <v>2289</v>
      </c>
      <c r="F66" s="699"/>
      <c r="G66" s="701" t="s">
        <v>2290</v>
      </c>
      <c r="H66" s="699" t="s">
        <v>2291</v>
      </c>
      <c r="I66" s="699" t="s">
        <v>18</v>
      </c>
      <c r="J66" s="699" t="s">
        <v>51</v>
      </c>
      <c r="K66" s="699"/>
      <c r="L66" s="699" t="s">
        <v>2292</v>
      </c>
      <c r="M66" s="699"/>
      <c r="N66" s="875" t="s">
        <v>2293</v>
      </c>
      <c r="O66" s="1042">
        <v>0</v>
      </c>
      <c r="P66" s="699"/>
      <c r="Q66" s="699" t="s">
        <v>2555</v>
      </c>
      <c r="R66" s="709"/>
      <c r="S66" s="701">
        <v>4</v>
      </c>
      <c r="T66" s="701">
        <v>3</v>
      </c>
      <c r="U66" s="705" t="s">
        <v>2261</v>
      </c>
      <c r="V66" s="699">
        <v>43580</v>
      </c>
      <c r="W66" s="699" t="s">
        <v>1769</v>
      </c>
      <c r="X66" s="699" t="s">
        <v>1154</v>
      </c>
      <c r="Y66" s="699" t="s">
        <v>2554</v>
      </c>
      <c r="Z66" s="699"/>
      <c r="AB66" s="55" t="s">
        <v>495</v>
      </c>
    </row>
    <row r="67" spans="1:28" s="21" customFormat="1" ht="12" hidden="1" customHeight="1">
      <c r="A67" s="20" t="s">
        <v>613</v>
      </c>
      <c r="B67" s="21" t="s">
        <v>614</v>
      </c>
      <c r="C67" s="30">
        <v>40264</v>
      </c>
      <c r="D67" s="30">
        <v>40271</v>
      </c>
      <c r="E67" s="21" t="s">
        <v>616</v>
      </c>
      <c r="G67" s="764" t="s">
        <v>618</v>
      </c>
      <c r="H67" s="21" t="s">
        <v>617</v>
      </c>
      <c r="I67" s="21" t="s">
        <v>18</v>
      </c>
      <c r="J67" s="21" t="s">
        <v>51</v>
      </c>
      <c r="K67" s="21" t="s">
        <v>619</v>
      </c>
      <c r="N67" s="50" t="s">
        <v>615</v>
      </c>
      <c r="O67" s="1013">
        <f>800+70+21</f>
        <v>891</v>
      </c>
      <c r="Q67" s="21" t="s">
        <v>600</v>
      </c>
      <c r="R67" s="876">
        <v>1</v>
      </c>
      <c r="S67" s="764">
        <v>4</v>
      </c>
      <c r="T67" s="764">
        <v>1</v>
      </c>
      <c r="U67" s="46">
        <f>200</f>
        <v>200</v>
      </c>
      <c r="AB67" s="1146" t="s">
        <v>3192</v>
      </c>
    </row>
    <row r="68" spans="1:28" s="21" customFormat="1" ht="12" customHeight="1">
      <c r="A68" s="1098" t="s">
        <v>3056</v>
      </c>
      <c r="B68" s="973" t="s">
        <v>3063</v>
      </c>
      <c r="C68" s="974">
        <v>44646</v>
      </c>
      <c r="D68" s="974">
        <v>44653</v>
      </c>
      <c r="E68" s="973" t="s">
        <v>3057</v>
      </c>
      <c r="F68" s="973"/>
      <c r="G68" s="976" t="s">
        <v>3058</v>
      </c>
      <c r="H68" s="973" t="s">
        <v>3059</v>
      </c>
      <c r="I68" s="973" t="s">
        <v>18</v>
      </c>
      <c r="J68" s="973" t="s">
        <v>51</v>
      </c>
      <c r="K68" s="1099" t="s">
        <v>3061</v>
      </c>
      <c r="L68" s="973" t="s">
        <v>3060</v>
      </c>
      <c r="M68" s="973"/>
      <c r="N68" s="1115" t="s">
        <v>3192</v>
      </c>
      <c r="O68" s="1100">
        <v>890</v>
      </c>
      <c r="P68" s="973"/>
      <c r="Q68" s="973" t="s">
        <v>3062</v>
      </c>
      <c r="R68" s="1101">
        <v>1</v>
      </c>
      <c r="S68" s="976">
        <v>3</v>
      </c>
      <c r="T68" s="976">
        <v>3</v>
      </c>
      <c r="U68" s="1102">
        <v>250</v>
      </c>
      <c r="V68" s="973">
        <v>44856</v>
      </c>
      <c r="W68" s="973" t="s">
        <v>1477</v>
      </c>
      <c r="X68" s="973" t="s">
        <v>1154</v>
      </c>
      <c r="Y68" s="973"/>
      <c r="Z68" s="973"/>
      <c r="AB68" s="121" t="s">
        <v>3395</v>
      </c>
    </row>
    <row r="69" spans="1:28" s="21" customFormat="1" ht="12" customHeight="1">
      <c r="A69" s="1200" t="s">
        <v>3056</v>
      </c>
      <c r="B69" s="1136" t="s">
        <v>3063</v>
      </c>
      <c r="C69" s="1137">
        <v>44849</v>
      </c>
      <c r="D69" s="1137">
        <v>44856</v>
      </c>
      <c r="E69" s="1136" t="s">
        <v>3057</v>
      </c>
      <c r="F69" s="1136"/>
      <c r="G69" s="1139" t="s">
        <v>3058</v>
      </c>
      <c r="H69" s="1136" t="s">
        <v>3059</v>
      </c>
      <c r="I69" s="1136" t="s">
        <v>18</v>
      </c>
      <c r="J69" s="1136" t="s">
        <v>51</v>
      </c>
      <c r="K69" s="1145" t="s">
        <v>3061</v>
      </c>
      <c r="L69" s="1136" t="s">
        <v>3060</v>
      </c>
      <c r="M69" s="1136"/>
      <c r="N69" s="1146" t="s">
        <v>3192</v>
      </c>
      <c r="O69" s="1201">
        <f>1090+3*3*7+70</f>
        <v>1223</v>
      </c>
      <c r="P69" s="1136"/>
      <c r="Q69" s="1136" t="s">
        <v>1300</v>
      </c>
      <c r="R69" s="1142">
        <v>1</v>
      </c>
      <c r="S69" s="1139">
        <v>3</v>
      </c>
      <c r="T69" s="1139">
        <v>3</v>
      </c>
      <c r="U69" s="1202">
        <v>1233</v>
      </c>
      <c r="V69" s="1136">
        <v>44795</v>
      </c>
      <c r="W69" s="1136" t="s">
        <v>3328</v>
      </c>
      <c r="X69" s="1136" t="s">
        <v>1154</v>
      </c>
      <c r="Y69" s="1136"/>
      <c r="Z69" s="1136"/>
      <c r="AB69" s="128" t="s">
        <v>2432</v>
      </c>
    </row>
    <row r="70" spans="1:28" s="21" customFormat="1" ht="12" customHeight="1">
      <c r="A70" s="25" t="s">
        <v>493</v>
      </c>
      <c r="B70" s="26" t="s">
        <v>494</v>
      </c>
      <c r="C70" s="32">
        <v>40012</v>
      </c>
      <c r="D70" s="32">
        <v>40026</v>
      </c>
      <c r="E70" s="26" t="s">
        <v>496</v>
      </c>
      <c r="F70" s="26"/>
      <c r="G70" s="781">
        <v>26831</v>
      </c>
      <c r="H70" s="26" t="s">
        <v>497</v>
      </c>
      <c r="I70" s="26" t="s">
        <v>18</v>
      </c>
      <c r="J70" s="26" t="s">
        <v>51</v>
      </c>
      <c r="K70" s="26" t="s">
        <v>498</v>
      </c>
      <c r="L70" s="26"/>
      <c r="M70" s="26"/>
      <c r="N70" s="55" t="s">
        <v>495</v>
      </c>
      <c r="O70" s="1018">
        <v>750</v>
      </c>
      <c r="P70" s="26"/>
      <c r="Q70" s="26" t="s">
        <v>499</v>
      </c>
      <c r="R70" s="879">
        <v>0</v>
      </c>
      <c r="S70" s="781">
        <v>8</v>
      </c>
      <c r="T70" s="781"/>
      <c r="U70" s="43">
        <v>750</v>
      </c>
      <c r="V70" s="26"/>
      <c r="W70" s="26"/>
      <c r="X70" s="26"/>
      <c r="Y70" s="26"/>
      <c r="Z70" s="26"/>
      <c r="AB70" s="1115" t="s">
        <v>3038</v>
      </c>
    </row>
    <row r="71" spans="1:28" s="21" customFormat="1" ht="12" customHeight="1">
      <c r="A71" s="1232" t="s">
        <v>3388</v>
      </c>
      <c r="B71" s="924" t="s">
        <v>3389</v>
      </c>
      <c r="C71" s="924">
        <v>45143</v>
      </c>
      <c r="D71" s="924">
        <v>45150</v>
      </c>
      <c r="E71" s="923" t="s">
        <v>3390</v>
      </c>
      <c r="F71" s="923"/>
      <c r="G71" s="925" t="s">
        <v>3391</v>
      </c>
      <c r="H71" s="923" t="s">
        <v>3392</v>
      </c>
      <c r="I71" s="923" t="s">
        <v>1775</v>
      </c>
      <c r="J71" s="923" t="s">
        <v>51</v>
      </c>
      <c r="K71" s="926"/>
      <c r="L71" s="961" t="s">
        <v>3393</v>
      </c>
      <c r="M71" s="923"/>
      <c r="N71" s="121" t="s">
        <v>3395</v>
      </c>
      <c r="O71" s="1195">
        <f>2490</f>
        <v>2490</v>
      </c>
      <c r="P71" s="923"/>
      <c r="Q71" s="923" t="s">
        <v>3394</v>
      </c>
      <c r="R71" s="1196">
        <v>1</v>
      </c>
      <c r="S71" s="925">
        <v>44717</v>
      </c>
      <c r="T71" s="925">
        <v>1</v>
      </c>
      <c r="U71" s="1197">
        <v>623</v>
      </c>
      <c r="V71" s="923">
        <v>44925</v>
      </c>
      <c r="W71" s="923" t="s">
        <v>1477</v>
      </c>
      <c r="X71" s="923" t="s">
        <v>1154</v>
      </c>
      <c r="Y71" s="923" t="s">
        <v>3397</v>
      </c>
      <c r="Z71" s="923"/>
      <c r="AB71" s="992" t="s">
        <v>1020</v>
      </c>
    </row>
    <row r="72" spans="1:28" s="21" customFormat="1" ht="12" customHeight="1" thickBot="1">
      <c r="A72" s="505" t="s">
        <v>2427</v>
      </c>
      <c r="B72" s="115" t="s">
        <v>2426</v>
      </c>
      <c r="C72" s="116">
        <v>43880</v>
      </c>
      <c r="D72" s="116">
        <v>43890</v>
      </c>
      <c r="E72" s="115" t="s">
        <v>2428</v>
      </c>
      <c r="F72" s="115"/>
      <c r="G72" s="361" t="s">
        <v>2429</v>
      </c>
      <c r="H72" s="364" t="s">
        <v>2430</v>
      </c>
      <c r="I72" s="115" t="s">
        <v>18</v>
      </c>
      <c r="J72" s="115" t="s">
        <v>1023</v>
      </c>
      <c r="K72" s="115"/>
      <c r="L72" s="124" t="s">
        <v>2431</v>
      </c>
      <c r="M72" s="115"/>
      <c r="N72" s="128" t="s">
        <v>2432</v>
      </c>
      <c r="O72" s="1027">
        <f>790*1.5</f>
        <v>1185</v>
      </c>
      <c r="P72" s="115"/>
      <c r="Q72" s="115" t="s">
        <v>1858</v>
      </c>
      <c r="R72" s="682">
        <v>1.5</v>
      </c>
      <c r="S72" s="361">
        <v>2</v>
      </c>
      <c r="T72" s="361">
        <v>2</v>
      </c>
      <c r="U72" s="119">
        <v>300</v>
      </c>
      <c r="V72" s="120">
        <v>43832</v>
      </c>
      <c r="W72" s="115" t="s">
        <v>1769</v>
      </c>
      <c r="X72" s="115" t="s">
        <v>1154</v>
      </c>
      <c r="Y72" s="115"/>
      <c r="Z72" s="115"/>
      <c r="AB72" s="995" t="s">
        <v>2708</v>
      </c>
    </row>
    <row r="73" spans="1:28" s="21" customFormat="1" ht="12" hidden="1" customHeight="1">
      <c r="A73" s="1097" t="s">
        <v>614</v>
      </c>
      <c r="B73" s="1090" t="s">
        <v>3032</v>
      </c>
      <c r="C73" s="1091">
        <v>44667</v>
      </c>
      <c r="D73" s="1091">
        <v>44681</v>
      </c>
      <c r="E73" s="1090" t="s">
        <v>3033</v>
      </c>
      <c r="F73" s="1090"/>
      <c r="G73" s="1092" t="s">
        <v>3034</v>
      </c>
      <c r="H73" s="1090" t="s">
        <v>3035</v>
      </c>
      <c r="I73" s="1090" t="s">
        <v>18</v>
      </c>
      <c r="J73" s="1090" t="s">
        <v>51</v>
      </c>
      <c r="K73" s="1093" t="s">
        <v>3037</v>
      </c>
      <c r="L73" s="1090" t="s">
        <v>3036</v>
      </c>
      <c r="M73" s="1090"/>
      <c r="N73" s="1115" t="s">
        <v>3038</v>
      </c>
      <c r="O73" s="1094">
        <f>890+990+14*6+70</f>
        <v>2034</v>
      </c>
      <c r="P73" s="1090"/>
      <c r="Q73" s="1090" t="s">
        <v>1192</v>
      </c>
      <c r="R73" s="1095">
        <v>2</v>
      </c>
      <c r="S73" s="1092">
        <v>2</v>
      </c>
      <c r="T73" s="1092">
        <v>2</v>
      </c>
      <c r="U73" s="1096" t="s">
        <v>3039</v>
      </c>
      <c r="V73" s="1090"/>
      <c r="W73" s="1090" t="s">
        <v>1477</v>
      </c>
      <c r="X73" s="1090" t="s">
        <v>1154</v>
      </c>
      <c r="Y73" s="1090"/>
      <c r="Z73" s="1090"/>
      <c r="AB73" s="128" t="s">
        <v>1020</v>
      </c>
    </row>
    <row r="74" spans="1:28" s="21" customFormat="1" ht="12" customHeight="1" thickBot="1">
      <c r="A74" s="56" t="s">
        <v>1022</v>
      </c>
      <c r="B74" s="57" t="s">
        <v>1021</v>
      </c>
      <c r="C74" s="58">
        <v>41517</v>
      </c>
      <c r="D74" s="58">
        <v>41531</v>
      </c>
      <c r="E74" s="57"/>
      <c r="F74" s="57"/>
      <c r="G74" s="795"/>
      <c r="H74" s="57"/>
      <c r="I74" s="57" t="s">
        <v>18</v>
      </c>
      <c r="J74" s="57" t="s">
        <v>1023</v>
      </c>
      <c r="K74" s="57"/>
      <c r="L74" s="57" t="s">
        <v>1024</v>
      </c>
      <c r="M74" s="57"/>
      <c r="N74" s="112" t="s">
        <v>1020</v>
      </c>
      <c r="O74" s="1021">
        <f>1290+1190+70+42</f>
        <v>2592</v>
      </c>
      <c r="P74" s="57"/>
      <c r="Q74" s="57" t="s">
        <v>1025</v>
      </c>
      <c r="R74" s="881">
        <v>2</v>
      </c>
      <c r="S74" s="795" t="s">
        <v>1025</v>
      </c>
      <c r="T74" s="795"/>
      <c r="U74" s="113">
        <f>2480/4</f>
        <v>620</v>
      </c>
      <c r="V74" s="78">
        <v>41207</v>
      </c>
      <c r="AB74" s="128" t="s">
        <v>2452</v>
      </c>
    </row>
    <row r="75" spans="1:28" ht="12" customHeight="1">
      <c r="A75" s="505" t="s">
        <v>1022</v>
      </c>
      <c r="B75" s="115" t="s">
        <v>1815</v>
      </c>
      <c r="C75" s="116">
        <v>43344</v>
      </c>
      <c r="D75" s="116">
        <v>43358</v>
      </c>
      <c r="E75" s="115" t="s">
        <v>1816</v>
      </c>
      <c r="F75" s="115"/>
      <c r="G75" s="361" t="s">
        <v>1817</v>
      </c>
      <c r="H75" s="364" t="s">
        <v>1818</v>
      </c>
      <c r="I75" s="115" t="s">
        <v>18</v>
      </c>
      <c r="J75" s="115" t="s">
        <v>51</v>
      </c>
      <c r="K75" s="124" t="s">
        <v>1819</v>
      </c>
      <c r="L75" s="124" t="s">
        <v>1820</v>
      </c>
      <c r="M75" s="115"/>
      <c r="N75" s="128" t="s">
        <v>1020</v>
      </c>
      <c r="O75" s="1027">
        <f>1390+1190+70+2*14*3</f>
        <v>2734</v>
      </c>
      <c r="P75" s="115"/>
      <c r="Q75" s="115" t="s">
        <v>1821</v>
      </c>
      <c r="R75" s="682">
        <v>2</v>
      </c>
      <c r="S75" s="361">
        <v>2</v>
      </c>
      <c r="T75" s="361">
        <v>2</v>
      </c>
      <c r="U75" s="129">
        <v>663</v>
      </c>
      <c r="V75" s="120">
        <v>43041</v>
      </c>
      <c r="W75" s="115"/>
      <c r="X75" s="115" t="s">
        <v>1154</v>
      </c>
      <c r="Y75" s="115"/>
      <c r="Z75" s="115"/>
      <c r="AB75" s="50" t="s">
        <v>469</v>
      </c>
    </row>
    <row r="76" spans="1:28" ht="12" customHeight="1" thickBot="1">
      <c r="A76" s="505" t="s">
        <v>2707</v>
      </c>
      <c r="B76" s="115" t="s">
        <v>2709</v>
      </c>
      <c r="C76" s="116">
        <v>44095</v>
      </c>
      <c r="D76" s="116">
        <v>44107</v>
      </c>
      <c r="E76" s="115" t="s">
        <v>2710</v>
      </c>
      <c r="F76" s="115"/>
      <c r="G76" s="361" t="s">
        <v>2711</v>
      </c>
      <c r="H76" s="115" t="s">
        <v>2712</v>
      </c>
      <c r="I76" s="364" t="s">
        <v>18</v>
      </c>
      <c r="J76" s="115" t="s">
        <v>51</v>
      </c>
      <c r="K76" s="115" t="s">
        <v>2714</v>
      </c>
      <c r="L76" s="115" t="s">
        <v>2713</v>
      </c>
      <c r="M76" s="115"/>
      <c r="N76" s="128" t="s">
        <v>2708</v>
      </c>
      <c r="O76" s="1027">
        <v>2580</v>
      </c>
      <c r="P76" s="115"/>
      <c r="Q76" s="115" t="s">
        <v>2715</v>
      </c>
      <c r="R76" s="682">
        <v>2</v>
      </c>
      <c r="S76" s="361">
        <v>6</v>
      </c>
      <c r="T76" s="361">
        <v>6</v>
      </c>
      <c r="U76" s="129">
        <v>0</v>
      </c>
      <c r="V76" s="120">
        <v>44092</v>
      </c>
      <c r="W76" s="115" t="s">
        <v>1477</v>
      </c>
      <c r="X76" s="115" t="s">
        <v>1154</v>
      </c>
      <c r="Y76" s="115"/>
      <c r="Z76" s="115"/>
      <c r="AB76" s="1007" t="s">
        <v>3116</v>
      </c>
    </row>
    <row r="77" spans="1:28" ht="12" customHeight="1" thickBot="1">
      <c r="A77" s="517" t="s">
        <v>2446</v>
      </c>
      <c r="B77" s="539" t="s">
        <v>2447</v>
      </c>
      <c r="C77" s="116">
        <v>44016</v>
      </c>
      <c r="D77" s="651">
        <v>44030</v>
      </c>
      <c r="E77" s="539" t="s">
        <v>2448</v>
      </c>
      <c r="F77" s="115"/>
      <c r="G77" s="361" t="s">
        <v>2449</v>
      </c>
      <c r="H77" s="364" t="s">
        <v>2450</v>
      </c>
      <c r="I77" s="115" t="s">
        <v>168</v>
      </c>
      <c r="J77" s="115" t="s">
        <v>51</v>
      </c>
      <c r="K77" s="115"/>
      <c r="L77" s="124" t="s">
        <v>2451</v>
      </c>
      <c r="M77" s="115"/>
      <c r="N77" s="128" t="s">
        <v>2452</v>
      </c>
      <c r="O77" s="1027">
        <f>2*1990+70</f>
        <v>4050</v>
      </c>
      <c r="P77" s="115"/>
      <c r="Q77" s="115" t="s">
        <v>2250</v>
      </c>
      <c r="R77" s="682">
        <v>2</v>
      </c>
      <c r="S77" s="361">
        <v>6</v>
      </c>
      <c r="T77" s="361">
        <v>2</v>
      </c>
      <c r="U77" s="129"/>
      <c r="V77" s="120">
        <v>43842</v>
      </c>
      <c r="W77" s="115" t="s">
        <v>1338</v>
      </c>
      <c r="X77" s="115" t="s">
        <v>1154</v>
      </c>
      <c r="Y77" s="115"/>
      <c r="Z77" s="115"/>
      <c r="AB77" s="850" t="s">
        <v>2414</v>
      </c>
    </row>
    <row r="78" spans="1:28" ht="12" customHeight="1" thickBot="1">
      <c r="A78" s="56" t="s">
        <v>555</v>
      </c>
      <c r="B78" s="1271" t="s">
        <v>556</v>
      </c>
      <c r="C78" s="1293">
        <v>40054</v>
      </c>
      <c r="D78" s="1310">
        <v>40061</v>
      </c>
      <c r="E78" s="1331" t="s">
        <v>557</v>
      </c>
      <c r="F78" s="21"/>
      <c r="G78" s="764">
        <v>30171</v>
      </c>
      <c r="H78" s="21" t="s">
        <v>558</v>
      </c>
      <c r="I78" s="21" t="s">
        <v>18</v>
      </c>
      <c r="J78" s="21" t="s">
        <v>51</v>
      </c>
      <c r="K78" s="21"/>
      <c r="L78" s="21" t="s">
        <v>559</v>
      </c>
      <c r="M78" s="21"/>
      <c r="N78" s="50" t="s">
        <v>469</v>
      </c>
      <c r="O78" s="1013">
        <v>1000</v>
      </c>
      <c r="P78" s="21"/>
      <c r="Q78" s="21">
        <v>2</v>
      </c>
      <c r="R78" s="876">
        <v>1</v>
      </c>
      <c r="S78" s="764">
        <v>2</v>
      </c>
      <c r="T78" s="764"/>
      <c r="U78" s="1357">
        <v>250</v>
      </c>
      <c r="V78" s="21"/>
      <c r="W78" s="21"/>
      <c r="X78" s="21"/>
      <c r="Y78" s="21"/>
      <c r="Z78" s="21"/>
      <c r="AB78" s="1057" t="s">
        <v>2732</v>
      </c>
    </row>
    <row r="79" spans="1:28" ht="12" hidden="1" customHeight="1" thickBot="1">
      <c r="A79" s="1003" t="s">
        <v>3110</v>
      </c>
      <c r="B79" s="1003" t="s">
        <v>652</v>
      </c>
      <c r="C79" s="1004">
        <v>44849</v>
      </c>
      <c r="D79" s="1305">
        <v>44856</v>
      </c>
      <c r="E79" s="1329" t="s">
        <v>3111</v>
      </c>
      <c r="F79" s="1003"/>
      <c r="G79" s="1005" t="s">
        <v>3112</v>
      </c>
      <c r="H79" s="1003" t="s">
        <v>3113</v>
      </c>
      <c r="I79" s="1003" t="s">
        <v>18</v>
      </c>
      <c r="J79" s="1003" t="s">
        <v>51</v>
      </c>
      <c r="K79" s="1003" t="s">
        <v>3114</v>
      </c>
      <c r="L79" s="1007" t="s">
        <v>3115</v>
      </c>
      <c r="M79" s="1003"/>
      <c r="N79" s="1007" t="s">
        <v>3116</v>
      </c>
      <c r="O79" s="1192">
        <v>272.5</v>
      </c>
      <c r="P79" s="1003" t="s">
        <v>2674</v>
      </c>
      <c r="Q79" s="1003"/>
      <c r="R79" s="1193">
        <v>0</v>
      </c>
      <c r="S79" s="1005">
        <v>2</v>
      </c>
      <c r="T79" s="1005">
        <v>1</v>
      </c>
      <c r="U79" s="1009">
        <v>272.5</v>
      </c>
      <c r="V79" s="1010">
        <v>44565</v>
      </c>
      <c r="W79" s="1003" t="s">
        <v>1477</v>
      </c>
      <c r="X79" s="1003" t="s">
        <v>1154</v>
      </c>
      <c r="Y79" s="1003" t="s">
        <v>3322</v>
      </c>
      <c r="Z79" s="1003"/>
      <c r="AB79" s="365" t="s">
        <v>2414</v>
      </c>
    </row>
    <row r="80" spans="1:28" ht="12" hidden="1" customHeight="1" thickBot="1">
      <c r="A80" s="1246" t="s">
        <v>2406</v>
      </c>
      <c r="B80" s="1276" t="s">
        <v>2407</v>
      </c>
      <c r="C80" s="409">
        <v>44086</v>
      </c>
      <c r="D80" s="1314">
        <v>44100</v>
      </c>
      <c r="E80" s="1333" t="s">
        <v>2408</v>
      </c>
      <c r="F80" s="408"/>
      <c r="G80" s="410" t="s">
        <v>2409</v>
      </c>
      <c r="H80" s="408" t="s">
        <v>2410</v>
      </c>
      <c r="I80" s="408" t="s">
        <v>18</v>
      </c>
      <c r="J80" s="408" t="s">
        <v>51</v>
      </c>
      <c r="K80" s="408" t="s">
        <v>2412</v>
      </c>
      <c r="L80" s="408" t="s">
        <v>2413</v>
      </c>
      <c r="M80" s="408"/>
      <c r="N80" s="850" t="s">
        <v>2414</v>
      </c>
      <c r="O80" s="1031">
        <f>720+800</f>
        <v>1520</v>
      </c>
      <c r="P80" s="408"/>
      <c r="Q80" s="408" t="s">
        <v>2415</v>
      </c>
      <c r="R80" s="889"/>
      <c r="S80" s="410" t="s">
        <v>674</v>
      </c>
      <c r="T80" s="410">
        <v>3</v>
      </c>
      <c r="U80" s="415">
        <v>720</v>
      </c>
      <c r="V80" s="416">
        <v>43809</v>
      </c>
      <c r="W80" s="408" t="s">
        <v>1477</v>
      </c>
      <c r="X80" s="408" t="s">
        <v>1154</v>
      </c>
      <c r="Y80" s="408"/>
      <c r="Z80" s="408"/>
      <c r="AB80" s="401" t="s">
        <v>2414</v>
      </c>
    </row>
    <row r="81" spans="1:28" ht="12" hidden="1" customHeight="1" thickBot="1">
      <c r="A81" s="355" t="s">
        <v>2406</v>
      </c>
      <c r="B81" s="355" t="s">
        <v>2407</v>
      </c>
      <c r="C81" s="357">
        <v>44364</v>
      </c>
      <c r="D81" s="565">
        <v>44373</v>
      </c>
      <c r="E81" s="576" t="s">
        <v>2408</v>
      </c>
      <c r="F81" s="355"/>
      <c r="G81" s="358" t="s">
        <v>2409</v>
      </c>
      <c r="H81" s="355" t="s">
        <v>2410</v>
      </c>
      <c r="I81" s="355" t="s">
        <v>18</v>
      </c>
      <c r="J81" s="355" t="s">
        <v>51</v>
      </c>
      <c r="K81" s="355" t="s">
        <v>2412</v>
      </c>
      <c r="L81" s="355" t="s">
        <v>2413</v>
      </c>
      <c r="M81" s="355"/>
      <c r="N81" s="365" t="s">
        <v>2414</v>
      </c>
      <c r="O81" s="1036">
        <v>1300</v>
      </c>
      <c r="P81" s="355"/>
      <c r="Q81" s="355" t="s">
        <v>2415</v>
      </c>
      <c r="R81" s="891">
        <v>1</v>
      </c>
      <c r="S81" s="358" t="s">
        <v>674</v>
      </c>
      <c r="T81" s="358">
        <v>3</v>
      </c>
      <c r="U81" s="417">
        <v>720</v>
      </c>
      <c r="V81" s="360">
        <v>43809</v>
      </c>
      <c r="W81" s="355" t="s">
        <v>1477</v>
      </c>
      <c r="X81" s="355" t="s">
        <v>1154</v>
      </c>
      <c r="Y81" s="355"/>
      <c r="Z81" s="355"/>
      <c r="AB81" s="121" t="s">
        <v>2414</v>
      </c>
    </row>
    <row r="82" spans="1:28" ht="12" customHeight="1" thickBot="1">
      <c r="A82" s="720" t="s">
        <v>2406</v>
      </c>
      <c r="B82" s="731" t="s">
        <v>2407</v>
      </c>
      <c r="C82" s="357">
        <v>44821</v>
      </c>
      <c r="D82" s="557">
        <v>44835</v>
      </c>
      <c r="E82" s="540" t="s">
        <v>2408</v>
      </c>
      <c r="F82" s="355"/>
      <c r="G82" s="358" t="s">
        <v>2409</v>
      </c>
      <c r="H82" s="355" t="s">
        <v>2410</v>
      </c>
      <c r="I82" s="355" t="s">
        <v>18</v>
      </c>
      <c r="J82" s="355" t="s">
        <v>51</v>
      </c>
      <c r="K82" s="355" t="s">
        <v>2412</v>
      </c>
      <c r="L82" s="355" t="s">
        <v>2413</v>
      </c>
      <c r="M82" s="355"/>
      <c r="N82" s="401" t="s">
        <v>2414</v>
      </c>
      <c r="O82" s="1036">
        <f>2580+70+3*3*14</f>
        <v>2776</v>
      </c>
      <c r="P82" s="355"/>
      <c r="Q82" s="355" t="s">
        <v>3330</v>
      </c>
      <c r="R82" s="891">
        <v>2</v>
      </c>
      <c r="S82" s="358">
        <v>2</v>
      </c>
      <c r="T82" s="358">
        <v>3</v>
      </c>
      <c r="U82" s="417">
        <v>645</v>
      </c>
      <c r="V82" s="360">
        <v>44410</v>
      </c>
      <c r="W82" s="355" t="s">
        <v>3015</v>
      </c>
      <c r="X82" s="355" t="s">
        <v>1154</v>
      </c>
      <c r="Y82" s="355"/>
      <c r="Z82" s="355"/>
      <c r="AB82" s="49" t="s">
        <v>237</v>
      </c>
    </row>
    <row r="83" spans="1:28" ht="12" customHeight="1" thickBot="1">
      <c r="A83" s="511" t="s">
        <v>2406</v>
      </c>
      <c r="B83" s="535" t="s">
        <v>2407</v>
      </c>
      <c r="C83" s="116">
        <v>45290</v>
      </c>
      <c r="D83" s="568">
        <v>44932</v>
      </c>
      <c r="E83" s="535" t="s">
        <v>2408</v>
      </c>
      <c r="F83" s="115"/>
      <c r="G83" s="361" t="s">
        <v>2409</v>
      </c>
      <c r="H83" s="115" t="s">
        <v>2410</v>
      </c>
      <c r="I83" s="115" t="s">
        <v>18</v>
      </c>
      <c r="J83" s="115" t="s">
        <v>51</v>
      </c>
      <c r="K83" s="115" t="s">
        <v>2412</v>
      </c>
      <c r="L83" s="115" t="s">
        <v>2413</v>
      </c>
      <c r="M83" s="115"/>
      <c r="N83" s="121" t="s">
        <v>2414</v>
      </c>
      <c r="O83" s="1027">
        <v>1290</v>
      </c>
      <c r="P83" s="115"/>
      <c r="Q83" s="115" t="s">
        <v>3330</v>
      </c>
      <c r="R83" s="682">
        <v>1</v>
      </c>
      <c r="S83" s="361">
        <v>2</v>
      </c>
      <c r="T83" s="361">
        <v>3</v>
      </c>
      <c r="U83" s="129">
        <f>1290/4</f>
        <v>322.5</v>
      </c>
      <c r="V83" s="120">
        <v>44923</v>
      </c>
      <c r="W83" s="115" t="s">
        <v>3328</v>
      </c>
      <c r="X83" s="115" t="s">
        <v>1154</v>
      </c>
      <c r="Y83" s="115" t="s">
        <v>3396</v>
      </c>
      <c r="Z83" s="115"/>
      <c r="AB83" s="365" t="s">
        <v>2238</v>
      </c>
    </row>
    <row r="84" spans="1:28" ht="12" customHeight="1">
      <c r="A84" s="1052" t="s">
        <v>2727</v>
      </c>
      <c r="B84" s="1052" t="s">
        <v>2728</v>
      </c>
      <c r="C84" s="1053" t="s">
        <v>2921</v>
      </c>
      <c r="D84" s="1054">
        <v>44702</v>
      </c>
      <c r="E84" s="1052" t="s">
        <v>2729</v>
      </c>
      <c r="F84" s="1052"/>
      <c r="G84" s="1055" t="s">
        <v>2730</v>
      </c>
      <c r="H84" s="1052" t="s">
        <v>2731</v>
      </c>
      <c r="I84" s="1052" t="s">
        <v>1775</v>
      </c>
      <c r="J84" s="1052" t="s">
        <v>51</v>
      </c>
      <c r="K84" s="1056"/>
      <c r="L84" s="1052" t="s">
        <v>3117</v>
      </c>
      <c r="M84" s="1052"/>
      <c r="N84" s="1057" t="s">
        <v>2732</v>
      </c>
      <c r="O84" s="1058"/>
      <c r="P84" s="1052"/>
      <c r="Q84" s="1052" t="s">
        <v>2733</v>
      </c>
      <c r="R84" s="1059">
        <v>0</v>
      </c>
      <c r="S84" s="1055">
        <v>4</v>
      </c>
      <c r="T84" s="1055">
        <v>3</v>
      </c>
      <c r="U84" s="1371">
        <v>431</v>
      </c>
      <c r="V84" s="1052">
        <v>44099</v>
      </c>
      <c r="W84" s="1052" t="s">
        <v>1477</v>
      </c>
      <c r="X84" s="1052" t="s">
        <v>1154</v>
      </c>
      <c r="Y84" s="1052" t="s">
        <v>3119</v>
      </c>
      <c r="Z84" s="1052"/>
      <c r="AB84" s="121" t="s">
        <v>3218</v>
      </c>
    </row>
    <row r="85" spans="1:28" ht="12" customHeight="1">
      <c r="A85" s="8" t="s">
        <v>240</v>
      </c>
      <c r="B85" s="8" t="s">
        <v>241</v>
      </c>
      <c r="C85" s="31">
        <v>38528</v>
      </c>
      <c r="D85" s="31">
        <v>38549</v>
      </c>
      <c r="E85" s="8" t="s">
        <v>235</v>
      </c>
      <c r="G85" s="132" t="s">
        <v>238</v>
      </c>
      <c r="H85" s="8" t="s">
        <v>239</v>
      </c>
      <c r="I85" s="8" t="s">
        <v>18</v>
      </c>
      <c r="J85" s="8" t="s">
        <v>51</v>
      </c>
      <c r="K85" s="8" t="s">
        <v>236</v>
      </c>
      <c r="L85" s="8" t="s">
        <v>245</v>
      </c>
      <c r="N85" s="49" t="s">
        <v>237</v>
      </c>
      <c r="O85" s="1012">
        <v>1650</v>
      </c>
      <c r="R85" s="685">
        <v>3</v>
      </c>
      <c r="S85" s="132">
        <v>2</v>
      </c>
      <c r="T85" s="132">
        <v>2</v>
      </c>
      <c r="U85" s="8" t="s">
        <v>232</v>
      </c>
      <c r="AB85" s="50" t="s">
        <v>1440</v>
      </c>
    </row>
    <row r="86" spans="1:28" ht="12" customHeight="1">
      <c r="A86" s="355" t="s">
        <v>2232</v>
      </c>
      <c r="B86" s="355" t="s">
        <v>2233</v>
      </c>
      <c r="C86" s="357">
        <v>43638</v>
      </c>
      <c r="D86" s="357">
        <v>43645</v>
      </c>
      <c r="E86" s="355" t="s">
        <v>2234</v>
      </c>
      <c r="F86" s="355"/>
      <c r="G86" s="358" t="s">
        <v>2235</v>
      </c>
      <c r="H86" s="355" t="s">
        <v>2236</v>
      </c>
      <c r="I86" s="355" t="s">
        <v>18</v>
      </c>
      <c r="J86" s="355" t="s">
        <v>1023</v>
      </c>
      <c r="K86" s="355"/>
      <c r="L86" s="365" t="s">
        <v>2237</v>
      </c>
      <c r="M86" s="355"/>
      <c r="N86" s="365" t="s">
        <v>2238</v>
      </c>
      <c r="O86" s="1036">
        <v>1290</v>
      </c>
      <c r="P86" s="355"/>
      <c r="Q86" s="355">
        <v>1</v>
      </c>
      <c r="R86" s="891">
        <v>1</v>
      </c>
      <c r="S86" s="358">
        <v>2</v>
      </c>
      <c r="T86" s="358">
        <v>1</v>
      </c>
      <c r="U86" s="417" t="s">
        <v>2239</v>
      </c>
      <c r="V86" s="360"/>
      <c r="W86" s="355"/>
      <c r="X86" s="355"/>
      <c r="Y86" s="355"/>
      <c r="Z86" s="355"/>
      <c r="AB86" s="128" t="s">
        <v>1798</v>
      </c>
    </row>
    <row r="87" spans="1:28" ht="12" customHeight="1">
      <c r="A87" s="115" t="s">
        <v>3213</v>
      </c>
      <c r="B87" s="115" t="s">
        <v>652</v>
      </c>
      <c r="C87" s="116">
        <v>45150</v>
      </c>
      <c r="D87" s="116">
        <v>45164</v>
      </c>
      <c r="E87" s="115" t="s">
        <v>3214</v>
      </c>
      <c r="F87" s="115"/>
      <c r="G87" s="361" t="s">
        <v>3215</v>
      </c>
      <c r="H87" s="115" t="s">
        <v>3216</v>
      </c>
      <c r="I87" s="115" t="s">
        <v>1775</v>
      </c>
      <c r="J87" s="115" t="s">
        <v>51</v>
      </c>
      <c r="K87" s="124"/>
      <c r="L87" s="115" t="s">
        <v>3217</v>
      </c>
      <c r="M87" s="115"/>
      <c r="N87" s="121" t="s">
        <v>3218</v>
      </c>
      <c r="O87" s="1044">
        <f>2490*2</f>
        <v>4980</v>
      </c>
      <c r="P87" s="115" t="s">
        <v>2674</v>
      </c>
      <c r="Q87" s="115"/>
      <c r="R87" s="682">
        <v>2</v>
      </c>
      <c r="S87" s="361">
        <v>2</v>
      </c>
      <c r="T87" s="361">
        <v>1</v>
      </c>
      <c r="U87" s="361">
        <v>1245</v>
      </c>
      <c r="V87" s="115">
        <v>44686</v>
      </c>
      <c r="W87" s="115" t="s">
        <v>3219</v>
      </c>
      <c r="X87" s="115" t="s">
        <v>1154</v>
      </c>
      <c r="Y87" s="115" t="s">
        <v>3281</v>
      </c>
      <c r="Z87" s="115"/>
      <c r="AB87" s="128" t="s">
        <v>2770</v>
      </c>
    </row>
    <row r="88" spans="1:28" ht="12" customHeight="1">
      <c r="A88" s="21" t="s">
        <v>1433</v>
      </c>
      <c r="B88" s="21" t="s">
        <v>1434</v>
      </c>
      <c r="C88" s="30">
        <v>42252</v>
      </c>
      <c r="D88" s="30">
        <v>42266</v>
      </c>
      <c r="E88" s="21" t="s">
        <v>1435</v>
      </c>
      <c r="F88" s="21"/>
      <c r="G88" s="764" t="s">
        <v>1436</v>
      </c>
      <c r="H88" s="21" t="s">
        <v>1437</v>
      </c>
      <c r="I88" s="21" t="s">
        <v>18</v>
      </c>
      <c r="J88" s="21" t="s">
        <v>51</v>
      </c>
      <c r="K88" s="21" t="s">
        <v>1438</v>
      </c>
      <c r="L88" s="21" t="s">
        <v>1439</v>
      </c>
      <c r="M88" s="21"/>
      <c r="N88" s="50" t="s">
        <v>1440</v>
      </c>
      <c r="O88" s="1013">
        <f>1190+1190</f>
        <v>2380</v>
      </c>
      <c r="P88" s="21"/>
      <c r="Q88" s="21" t="s">
        <v>1441</v>
      </c>
      <c r="R88" s="876">
        <v>2</v>
      </c>
      <c r="S88" s="764">
        <v>2</v>
      </c>
      <c r="T88" s="764">
        <v>3</v>
      </c>
      <c r="U88" s="1367">
        <f>2380/4</f>
        <v>595</v>
      </c>
      <c r="V88" s="78">
        <v>42070</v>
      </c>
      <c r="W88" s="21"/>
      <c r="X88" s="21" t="s">
        <v>1154</v>
      </c>
      <c r="Y88" s="21"/>
      <c r="Z88" s="21"/>
      <c r="AB88" s="50" t="s">
        <v>607</v>
      </c>
    </row>
    <row r="89" spans="1:28" s="61" customFormat="1" ht="12" customHeight="1">
      <c r="A89" s="115" t="s">
        <v>1792</v>
      </c>
      <c r="B89" s="115" t="s">
        <v>1793</v>
      </c>
      <c r="C89" s="116">
        <v>43253</v>
      </c>
      <c r="D89" s="116">
        <v>43274</v>
      </c>
      <c r="E89" s="115" t="s">
        <v>1794</v>
      </c>
      <c r="F89" s="115"/>
      <c r="G89" s="361" t="s">
        <v>1795</v>
      </c>
      <c r="H89" s="115" t="s">
        <v>1796</v>
      </c>
      <c r="I89" s="115" t="s">
        <v>168</v>
      </c>
      <c r="J89" s="115" t="s">
        <v>51</v>
      </c>
      <c r="K89" s="115"/>
      <c r="L89" s="115" t="s">
        <v>1797</v>
      </c>
      <c r="M89" s="115"/>
      <c r="N89" s="128" t="s">
        <v>1798</v>
      </c>
      <c r="O89" s="1027">
        <f>1190*3</f>
        <v>3570</v>
      </c>
      <c r="P89" s="115"/>
      <c r="Q89" s="115" t="s">
        <v>1933</v>
      </c>
      <c r="R89" s="682">
        <v>3</v>
      </c>
      <c r="S89" s="361">
        <v>4</v>
      </c>
      <c r="T89" s="361">
        <v>0</v>
      </c>
      <c r="U89" s="119">
        <v>892.5</v>
      </c>
      <c r="V89" s="120">
        <v>42979</v>
      </c>
      <c r="W89" s="115"/>
      <c r="X89" s="115" t="s">
        <v>1154</v>
      </c>
      <c r="Y89" s="115"/>
      <c r="Z89" s="115"/>
      <c r="AB89" s="128" t="s">
        <v>1649</v>
      </c>
    </row>
    <row r="90" spans="1:28" s="61" customFormat="1" ht="12" customHeight="1">
      <c r="A90" s="115" t="s">
        <v>2765</v>
      </c>
      <c r="B90" s="115" t="s">
        <v>2488</v>
      </c>
      <c r="C90" s="116">
        <v>44436</v>
      </c>
      <c r="D90" s="116">
        <v>44443</v>
      </c>
      <c r="E90" s="115" t="s">
        <v>2766</v>
      </c>
      <c r="F90" s="115"/>
      <c r="G90" s="361" t="s">
        <v>2767</v>
      </c>
      <c r="H90" s="115" t="s">
        <v>2768</v>
      </c>
      <c r="I90" s="115" t="s">
        <v>18</v>
      </c>
      <c r="J90" s="115" t="s">
        <v>51</v>
      </c>
      <c r="K90" s="124"/>
      <c r="L90" s="115" t="s">
        <v>2769</v>
      </c>
      <c r="M90" s="115"/>
      <c r="N90" s="128" t="s">
        <v>2770</v>
      </c>
      <c r="O90" s="1027">
        <v>1990</v>
      </c>
      <c r="P90" s="115"/>
      <c r="Q90" s="115" t="s">
        <v>2771</v>
      </c>
      <c r="R90" s="682">
        <v>1</v>
      </c>
      <c r="S90" s="361">
        <v>4</v>
      </c>
      <c r="T90" s="361">
        <v>3</v>
      </c>
      <c r="U90" s="918">
        <v>497.5</v>
      </c>
      <c r="V90" s="115">
        <v>44131</v>
      </c>
      <c r="W90" s="115" t="s">
        <v>1477</v>
      </c>
      <c r="X90" s="115" t="s">
        <v>1154</v>
      </c>
      <c r="Y90" s="115"/>
      <c r="Z90" s="115"/>
      <c r="AB90" s="365" t="s">
        <v>2331</v>
      </c>
    </row>
    <row r="91" spans="1:28" s="61" customFormat="1" ht="12" hidden="1" customHeight="1">
      <c r="A91" s="21" t="s">
        <v>602</v>
      </c>
      <c r="B91" s="21" t="s">
        <v>603</v>
      </c>
      <c r="C91" s="30">
        <v>40432</v>
      </c>
      <c r="D91" s="30">
        <v>40446</v>
      </c>
      <c r="E91" s="21"/>
      <c r="F91" s="21"/>
      <c r="G91" s="764"/>
      <c r="H91" s="21"/>
      <c r="I91" s="21" t="s">
        <v>18</v>
      </c>
      <c r="J91" s="21" t="s">
        <v>51</v>
      </c>
      <c r="K91" s="21" t="s">
        <v>605</v>
      </c>
      <c r="L91" s="21" t="s">
        <v>606</v>
      </c>
      <c r="M91" s="21"/>
      <c r="N91" s="50" t="s">
        <v>607</v>
      </c>
      <c r="O91" s="1020">
        <f>2400+70+2*3*14</f>
        <v>2554</v>
      </c>
      <c r="P91" s="21"/>
      <c r="Q91" s="21" t="s">
        <v>604</v>
      </c>
      <c r="R91" s="876">
        <v>2</v>
      </c>
      <c r="S91" s="764">
        <v>2</v>
      </c>
      <c r="T91" s="764">
        <v>2</v>
      </c>
      <c r="U91" s="52">
        <f>2400/4</f>
        <v>600</v>
      </c>
      <c r="V91" s="21"/>
      <c r="W91" s="21"/>
      <c r="X91" s="21"/>
      <c r="Y91" s="21"/>
      <c r="Z91" s="21"/>
      <c r="AB91" s="128" t="s">
        <v>1649</v>
      </c>
    </row>
    <row r="92" spans="1:28" s="61" customFormat="1" ht="12" customHeight="1">
      <c r="A92" s="115" t="s">
        <v>1580</v>
      </c>
      <c r="B92" s="115" t="s">
        <v>1581</v>
      </c>
      <c r="C92" s="116">
        <v>42532</v>
      </c>
      <c r="D92" s="116">
        <v>42546</v>
      </c>
      <c r="E92" s="115" t="s">
        <v>1582</v>
      </c>
      <c r="F92" s="115"/>
      <c r="G92" s="361" t="s">
        <v>1583</v>
      </c>
      <c r="H92" s="115" t="s">
        <v>1584</v>
      </c>
      <c r="I92" s="115" t="s">
        <v>18</v>
      </c>
      <c r="J92" s="115" t="s">
        <v>51</v>
      </c>
      <c r="K92" s="115" t="s">
        <v>1585</v>
      </c>
      <c r="L92" s="115" t="s">
        <v>1586</v>
      </c>
      <c r="M92" s="115"/>
      <c r="N92" s="128" t="s">
        <v>1649</v>
      </c>
      <c r="O92" s="1027">
        <v>2300</v>
      </c>
      <c r="P92" s="115"/>
      <c r="Q92" s="115" t="s">
        <v>1598</v>
      </c>
      <c r="R92" s="682">
        <v>2</v>
      </c>
      <c r="S92" s="361" t="s">
        <v>1598</v>
      </c>
      <c r="T92" s="361"/>
      <c r="U92" s="119">
        <v>575</v>
      </c>
      <c r="V92" s="120"/>
      <c r="W92" s="115"/>
      <c r="X92" s="115"/>
      <c r="Y92" s="115"/>
      <c r="Z92" s="115"/>
      <c r="AB92" s="50" t="s">
        <v>887</v>
      </c>
    </row>
    <row r="93" spans="1:28" s="61" customFormat="1" ht="12" customHeight="1">
      <c r="A93" s="115" t="s">
        <v>1642</v>
      </c>
      <c r="B93" s="115" t="s">
        <v>1643</v>
      </c>
      <c r="C93" s="116">
        <v>42903</v>
      </c>
      <c r="D93" s="116">
        <v>42917</v>
      </c>
      <c r="E93" s="115" t="s">
        <v>1644</v>
      </c>
      <c r="F93" s="115"/>
      <c r="G93" s="361" t="s">
        <v>1645</v>
      </c>
      <c r="H93" s="115" t="s">
        <v>1646</v>
      </c>
      <c r="I93" s="115" t="s">
        <v>18</v>
      </c>
      <c r="J93" s="115" t="s">
        <v>51</v>
      </c>
      <c r="K93" s="115" t="s">
        <v>1648</v>
      </c>
      <c r="L93" s="115" t="s">
        <v>1647</v>
      </c>
      <c r="M93" s="115"/>
      <c r="N93" s="128" t="s">
        <v>1649</v>
      </c>
      <c r="O93" s="1027">
        <f>1190+1290</f>
        <v>2480</v>
      </c>
      <c r="P93" s="115"/>
      <c r="Q93" s="115"/>
      <c r="R93" s="682">
        <v>2</v>
      </c>
      <c r="S93" s="361" t="s">
        <v>1650</v>
      </c>
      <c r="T93" s="361">
        <v>2</v>
      </c>
      <c r="U93" s="119">
        <v>620</v>
      </c>
      <c r="V93" s="120">
        <v>42719</v>
      </c>
      <c r="W93" s="115" t="s">
        <v>1651</v>
      </c>
      <c r="X93" s="115" t="s">
        <v>1154</v>
      </c>
      <c r="Y93" s="115"/>
      <c r="Z93" s="115"/>
      <c r="AB93" s="128" t="s">
        <v>1712</v>
      </c>
    </row>
    <row r="94" spans="1:28" s="61" customFormat="1" ht="12" customHeight="1">
      <c r="A94" s="867" t="s">
        <v>2332</v>
      </c>
      <c r="B94" s="355" t="s">
        <v>2333</v>
      </c>
      <c r="C94" s="357">
        <v>43729</v>
      </c>
      <c r="D94" s="357">
        <v>43736</v>
      </c>
      <c r="E94" s="355" t="s">
        <v>2334</v>
      </c>
      <c r="F94" s="355"/>
      <c r="G94" s="358" t="s">
        <v>2335</v>
      </c>
      <c r="H94" s="355" t="s">
        <v>2336</v>
      </c>
      <c r="I94" s="355" t="s">
        <v>18</v>
      </c>
      <c r="J94" s="355" t="s">
        <v>51</v>
      </c>
      <c r="K94" s="355" t="s">
        <v>2338</v>
      </c>
      <c r="L94" s="355" t="s">
        <v>2337</v>
      </c>
      <c r="M94" s="355"/>
      <c r="N94" s="365" t="s">
        <v>2331</v>
      </c>
      <c r="O94" s="1036">
        <v>1190</v>
      </c>
      <c r="P94" s="355"/>
      <c r="Q94" s="355" t="s">
        <v>2023</v>
      </c>
      <c r="R94" s="891">
        <v>1</v>
      </c>
      <c r="S94" s="358">
        <v>2</v>
      </c>
      <c r="T94" s="358">
        <v>2</v>
      </c>
      <c r="U94" s="356" t="s">
        <v>2339</v>
      </c>
      <c r="V94" s="360">
        <v>43702</v>
      </c>
      <c r="W94" s="355" t="s">
        <v>1477</v>
      </c>
      <c r="X94" s="355"/>
      <c r="Y94" s="355"/>
      <c r="Z94" s="355"/>
      <c r="AB94" s="50" t="s">
        <v>958</v>
      </c>
    </row>
    <row r="95" spans="1:28" s="61" customFormat="1" ht="12" customHeight="1">
      <c r="A95" s="21" t="s">
        <v>882</v>
      </c>
      <c r="B95" s="21" t="s">
        <v>528</v>
      </c>
      <c r="C95" s="30">
        <v>41034</v>
      </c>
      <c r="D95" s="30">
        <v>41044</v>
      </c>
      <c r="E95" s="21"/>
      <c r="F95" s="21"/>
      <c r="G95" s="764"/>
      <c r="H95" s="21"/>
      <c r="I95" s="21" t="s">
        <v>884</v>
      </c>
      <c r="J95" s="21" t="s">
        <v>51</v>
      </c>
      <c r="K95" s="21" t="s">
        <v>885</v>
      </c>
      <c r="L95" s="21" t="s">
        <v>886</v>
      </c>
      <c r="M95" s="21"/>
      <c r="N95" s="50" t="s">
        <v>887</v>
      </c>
      <c r="O95" s="1013">
        <f>1250+2*10*3+70</f>
        <v>1380</v>
      </c>
      <c r="P95" s="21"/>
      <c r="Q95" s="21"/>
      <c r="R95" s="876">
        <v>2</v>
      </c>
      <c r="S95" s="764">
        <v>2</v>
      </c>
      <c r="T95" s="764">
        <v>2</v>
      </c>
      <c r="U95" s="75">
        <f>O95/4</f>
        <v>345</v>
      </c>
      <c r="V95" s="78">
        <v>40970</v>
      </c>
      <c r="W95" s="21" t="s">
        <v>791</v>
      </c>
      <c r="X95" s="21"/>
      <c r="Y95" s="21"/>
      <c r="Z95" s="21"/>
      <c r="AB95" s="50" t="s">
        <v>1320</v>
      </c>
    </row>
    <row r="96" spans="1:28" s="67" customFormat="1" ht="12" customHeight="1">
      <c r="A96" s="115" t="s">
        <v>1706</v>
      </c>
      <c r="B96" s="115" t="s">
        <v>1707</v>
      </c>
      <c r="C96" s="116">
        <v>42952</v>
      </c>
      <c r="D96" s="116">
        <v>42966</v>
      </c>
      <c r="E96" s="115" t="s">
        <v>1708</v>
      </c>
      <c r="F96" s="115"/>
      <c r="G96" s="361" t="s">
        <v>1709</v>
      </c>
      <c r="H96" s="115" t="s">
        <v>187</v>
      </c>
      <c r="I96" s="115" t="s">
        <v>18</v>
      </c>
      <c r="J96" s="115" t="s">
        <v>51</v>
      </c>
      <c r="K96" s="115" t="s">
        <v>1710</v>
      </c>
      <c r="L96" s="115" t="s">
        <v>1711</v>
      </c>
      <c r="M96" s="115"/>
      <c r="N96" s="128" t="s">
        <v>1712</v>
      </c>
      <c r="O96" s="1027">
        <f>1990*2</f>
        <v>3980</v>
      </c>
      <c r="P96" s="115"/>
      <c r="Q96" s="115" t="s">
        <v>1713</v>
      </c>
      <c r="R96" s="682">
        <v>2</v>
      </c>
      <c r="S96" s="361">
        <v>5</v>
      </c>
      <c r="T96" s="361">
        <v>1</v>
      </c>
      <c r="U96" s="119">
        <f>1990/2</f>
        <v>995</v>
      </c>
      <c r="V96" s="120">
        <v>42799</v>
      </c>
      <c r="W96" s="115" t="s">
        <v>1651</v>
      </c>
      <c r="X96" s="115" t="s">
        <v>1154</v>
      </c>
      <c r="Y96" s="115"/>
      <c r="Z96" s="115"/>
      <c r="AB96" s="128" t="s">
        <v>1761</v>
      </c>
    </row>
    <row r="97" spans="1:28" s="61" customFormat="1" ht="12" customHeight="1">
      <c r="A97" s="21" t="s">
        <v>953</v>
      </c>
      <c r="B97" s="21" t="s">
        <v>954</v>
      </c>
      <c r="C97" s="30">
        <v>41161</v>
      </c>
      <c r="D97" s="30">
        <v>41174</v>
      </c>
      <c r="E97" s="21" t="s">
        <v>960</v>
      </c>
      <c r="F97" s="21"/>
      <c r="G97" s="764" t="s">
        <v>956</v>
      </c>
      <c r="H97" s="21" t="s">
        <v>955</v>
      </c>
      <c r="I97" s="21" t="s">
        <v>18</v>
      </c>
      <c r="J97" s="21" t="s">
        <v>51</v>
      </c>
      <c r="K97" s="21"/>
      <c r="L97" s="21" t="s">
        <v>957</v>
      </c>
      <c r="M97" s="21"/>
      <c r="N97" s="50" t="s">
        <v>958</v>
      </c>
      <c r="O97" s="1013">
        <f>990*2</f>
        <v>1980</v>
      </c>
      <c r="P97" s="21"/>
      <c r="Q97" s="21" t="s">
        <v>959</v>
      </c>
      <c r="R97" s="876">
        <v>2</v>
      </c>
      <c r="S97" s="764">
        <v>2</v>
      </c>
      <c r="T97" s="764">
        <v>3</v>
      </c>
      <c r="U97" s="77">
        <v>495</v>
      </c>
      <c r="V97" s="84">
        <v>41101</v>
      </c>
      <c r="W97" s="21" t="s">
        <v>791</v>
      </c>
      <c r="X97" s="21"/>
      <c r="Y97" s="21"/>
      <c r="Z97" s="21"/>
      <c r="AB97" s="363" t="s">
        <v>2910</v>
      </c>
    </row>
    <row r="98" spans="1:28" s="61" customFormat="1" ht="12" hidden="1" customHeight="1">
      <c r="A98" s="21" t="s">
        <v>1313</v>
      </c>
      <c r="B98" s="21" t="s">
        <v>1314</v>
      </c>
      <c r="C98" s="30">
        <v>42168</v>
      </c>
      <c r="D98" s="30">
        <v>42182</v>
      </c>
      <c r="E98" s="21" t="s">
        <v>1315</v>
      </c>
      <c r="F98" s="21"/>
      <c r="G98" s="764" t="s">
        <v>1316</v>
      </c>
      <c r="H98" s="21" t="s">
        <v>1317</v>
      </c>
      <c r="I98" s="21" t="s">
        <v>18</v>
      </c>
      <c r="J98" s="21" t="s">
        <v>51</v>
      </c>
      <c r="K98" s="21" t="s">
        <v>1318</v>
      </c>
      <c r="L98" s="21" t="s">
        <v>1319</v>
      </c>
      <c r="M98" s="21"/>
      <c r="N98" s="50" t="s">
        <v>1320</v>
      </c>
      <c r="O98" s="1013">
        <f>1190+1290</f>
        <v>2480</v>
      </c>
      <c r="P98" s="21"/>
      <c r="Q98" s="21" t="s">
        <v>1321</v>
      </c>
      <c r="R98" s="876">
        <v>2</v>
      </c>
      <c r="S98" s="764" t="s">
        <v>199</v>
      </c>
      <c r="T98" s="764">
        <v>3</v>
      </c>
      <c r="U98" s="75">
        <f>620</f>
        <v>620</v>
      </c>
      <c r="V98" s="78">
        <v>41828</v>
      </c>
      <c r="W98" s="21" t="s">
        <v>791</v>
      </c>
      <c r="X98" s="21" t="s">
        <v>1154</v>
      </c>
      <c r="Y98" s="21"/>
      <c r="Z98" s="21"/>
      <c r="AB98" s="128" t="s">
        <v>1761</v>
      </c>
    </row>
    <row r="99" spans="1:28" s="61" customFormat="1" ht="12" customHeight="1">
      <c r="A99" s="115" t="s">
        <v>1501</v>
      </c>
      <c r="B99" s="115" t="s">
        <v>1502</v>
      </c>
      <c r="C99" s="116">
        <v>42483</v>
      </c>
      <c r="D99" s="116">
        <v>42497</v>
      </c>
      <c r="E99" s="115" t="s">
        <v>1503</v>
      </c>
      <c r="F99" s="115"/>
      <c r="G99" s="361" t="s">
        <v>1504</v>
      </c>
      <c r="H99" s="115" t="s">
        <v>456</v>
      </c>
      <c r="I99" s="115" t="s">
        <v>168</v>
      </c>
      <c r="J99" s="115" t="s">
        <v>51</v>
      </c>
      <c r="K99" s="115"/>
      <c r="L99" s="115" t="s">
        <v>1505</v>
      </c>
      <c r="M99" s="115"/>
      <c r="N99" s="128" t="s">
        <v>1761</v>
      </c>
      <c r="O99" s="1027">
        <f>790*2+70+80</f>
        <v>1730</v>
      </c>
      <c r="P99" s="115"/>
      <c r="Q99" s="115" t="s">
        <v>1507</v>
      </c>
      <c r="R99" s="682">
        <v>2</v>
      </c>
      <c r="S99" s="361" t="s">
        <v>1507</v>
      </c>
      <c r="T99" s="361">
        <v>2</v>
      </c>
      <c r="U99" s="119">
        <v>1580</v>
      </c>
      <c r="V99" s="828">
        <v>42379</v>
      </c>
      <c r="W99" s="120" t="s">
        <v>1525</v>
      </c>
      <c r="X99" s="115" t="s">
        <v>1154</v>
      </c>
      <c r="Y99" s="115"/>
      <c r="Z99" s="115"/>
      <c r="AB99" s="121" t="s">
        <v>3326</v>
      </c>
    </row>
    <row r="100" spans="1:28" s="61" customFormat="1" ht="12" customHeight="1">
      <c r="A100" s="115" t="s">
        <v>1658</v>
      </c>
      <c r="B100" s="115" t="s">
        <v>1659</v>
      </c>
      <c r="C100" s="116">
        <v>42882</v>
      </c>
      <c r="D100" s="116">
        <v>42889</v>
      </c>
      <c r="E100" s="115" t="s">
        <v>1660</v>
      </c>
      <c r="F100" s="115"/>
      <c r="G100" s="361" t="s">
        <v>1661</v>
      </c>
      <c r="H100" s="115" t="s">
        <v>18</v>
      </c>
      <c r="I100" s="115" t="s">
        <v>1662</v>
      </c>
      <c r="J100" s="115" t="s">
        <v>51</v>
      </c>
      <c r="K100" s="115" t="s">
        <v>1663</v>
      </c>
      <c r="L100" s="115" t="s">
        <v>1664</v>
      </c>
      <c r="M100" s="115"/>
      <c r="N100" s="128" t="s">
        <v>1761</v>
      </c>
      <c r="O100" s="1027">
        <v>1090</v>
      </c>
      <c r="P100" s="115"/>
      <c r="Q100" s="115"/>
      <c r="R100" s="682">
        <v>1</v>
      </c>
      <c r="S100" s="361">
        <v>2</v>
      </c>
      <c r="T100" s="361">
        <v>1</v>
      </c>
      <c r="U100" s="119">
        <v>272.5</v>
      </c>
      <c r="V100" s="120">
        <v>42750</v>
      </c>
      <c r="W100" s="115" t="s">
        <v>1665</v>
      </c>
      <c r="X100" s="115"/>
      <c r="Y100" s="115"/>
      <c r="Z100" s="115"/>
      <c r="AB100" s="50" t="s">
        <v>1264</v>
      </c>
    </row>
    <row r="101" spans="1:28" s="21" customFormat="1" ht="12" customHeight="1">
      <c r="A101" s="115" t="s">
        <v>2905</v>
      </c>
      <c r="B101" s="115" t="s">
        <v>2906</v>
      </c>
      <c r="C101" s="116">
        <v>44485</v>
      </c>
      <c r="D101" s="116">
        <v>44492</v>
      </c>
      <c r="E101" s="115" t="s">
        <v>2907</v>
      </c>
      <c r="F101" s="115"/>
      <c r="G101" s="361" t="s">
        <v>2908</v>
      </c>
      <c r="H101" s="115" t="s">
        <v>720</v>
      </c>
      <c r="I101" s="115" t="s">
        <v>18</v>
      </c>
      <c r="J101" s="115" t="s">
        <v>51</v>
      </c>
      <c r="K101" s="124"/>
      <c r="L101" s="115" t="s">
        <v>2909</v>
      </c>
      <c r="M101" s="115"/>
      <c r="N101" s="363" t="s">
        <v>2910</v>
      </c>
      <c r="O101" s="1027">
        <f>833.5+247.5</f>
        <v>1081</v>
      </c>
      <c r="P101" s="115"/>
      <c r="Q101" s="115" t="s">
        <v>1060</v>
      </c>
      <c r="R101" s="682">
        <v>1</v>
      </c>
      <c r="S101" s="361">
        <v>5</v>
      </c>
      <c r="T101" s="361">
        <v>1</v>
      </c>
      <c r="U101" s="918">
        <v>247.5</v>
      </c>
      <c r="V101" s="115">
        <v>44276</v>
      </c>
      <c r="W101" s="115" t="s">
        <v>1338</v>
      </c>
      <c r="X101" s="115" t="s">
        <v>1154</v>
      </c>
      <c r="Y101" s="115"/>
      <c r="Z101" s="115"/>
      <c r="AB101" s="128" t="s">
        <v>2988</v>
      </c>
    </row>
    <row r="102" spans="1:28" s="21" customFormat="1" ht="12" customHeight="1">
      <c r="A102" s="115" t="s">
        <v>3324</v>
      </c>
      <c r="B102" s="115" t="s">
        <v>3325</v>
      </c>
      <c r="C102" s="116">
        <v>45178</v>
      </c>
      <c r="D102" s="116">
        <v>45199</v>
      </c>
      <c r="E102" s="115"/>
      <c r="F102" s="115"/>
      <c r="G102" s="361"/>
      <c r="H102" s="115"/>
      <c r="I102" s="115" t="s">
        <v>18</v>
      </c>
      <c r="J102" s="115" t="s">
        <v>51</v>
      </c>
      <c r="K102" s="115"/>
      <c r="L102" s="115" t="s">
        <v>3327</v>
      </c>
      <c r="M102" s="115"/>
      <c r="N102" s="121" t="s">
        <v>3326</v>
      </c>
      <c r="O102" s="1027">
        <f>1990+1590+1590</f>
        <v>5170</v>
      </c>
      <c r="P102" s="115"/>
      <c r="Q102" s="115"/>
      <c r="R102" s="682">
        <v>3</v>
      </c>
      <c r="S102" s="361">
        <v>2</v>
      </c>
      <c r="T102" s="361">
        <v>2</v>
      </c>
      <c r="U102" s="1372">
        <v>1292.5</v>
      </c>
      <c r="V102" s="120">
        <v>44794</v>
      </c>
      <c r="W102" s="115" t="s">
        <v>3219</v>
      </c>
      <c r="X102" s="115" t="s">
        <v>1154</v>
      </c>
      <c r="Y102" s="115"/>
      <c r="Z102" s="115"/>
      <c r="AB102" s="50" t="s">
        <v>1215</v>
      </c>
    </row>
    <row r="103" spans="1:28" s="21" customFormat="1" ht="12" customHeight="1">
      <c r="A103" s="21" t="s">
        <v>1260</v>
      </c>
      <c r="B103" s="21" t="s">
        <v>1259</v>
      </c>
      <c r="C103" s="30">
        <v>41853</v>
      </c>
      <c r="D103" s="30">
        <v>41867</v>
      </c>
      <c r="E103" s="21" t="s">
        <v>1261</v>
      </c>
      <c r="G103" s="764" t="s">
        <v>670</v>
      </c>
      <c r="H103" s="21" t="s">
        <v>1262</v>
      </c>
      <c r="I103" s="21" t="s">
        <v>18</v>
      </c>
      <c r="J103" s="21" t="s">
        <v>51</v>
      </c>
      <c r="L103" s="21" t="s">
        <v>1263</v>
      </c>
      <c r="N103" s="50" t="s">
        <v>1264</v>
      </c>
      <c r="O103" s="1013">
        <f>1990+1990+70+42</f>
        <v>4092</v>
      </c>
      <c r="Q103" s="21" t="s">
        <v>1265</v>
      </c>
      <c r="R103" s="876">
        <v>2</v>
      </c>
      <c r="S103" s="764" t="s">
        <v>1266</v>
      </c>
      <c r="T103" s="764">
        <v>1</v>
      </c>
      <c r="U103" s="75">
        <f>1000</f>
        <v>1000</v>
      </c>
      <c r="V103" s="78">
        <v>41701</v>
      </c>
      <c r="W103" s="21" t="s">
        <v>791</v>
      </c>
      <c r="AB103" s="128" t="s">
        <v>2425</v>
      </c>
    </row>
    <row r="104" spans="1:28" s="21" customFormat="1" ht="12" customHeight="1">
      <c r="A104" s="115" t="s">
        <v>2984</v>
      </c>
      <c r="B104" s="115" t="s">
        <v>2983</v>
      </c>
      <c r="C104" s="116">
        <v>44464</v>
      </c>
      <c r="D104" s="116">
        <v>44471</v>
      </c>
      <c r="E104" s="115" t="s">
        <v>2985</v>
      </c>
      <c r="F104" s="115"/>
      <c r="G104" s="361" t="s">
        <v>2986</v>
      </c>
      <c r="H104" s="115" t="s">
        <v>2987</v>
      </c>
      <c r="I104" s="115" t="s">
        <v>1775</v>
      </c>
      <c r="J104" s="115" t="s">
        <v>1023</v>
      </c>
      <c r="K104" s="124"/>
      <c r="L104" s="921" t="s">
        <v>3042</v>
      </c>
      <c r="M104" s="115"/>
      <c r="N104" s="128" t="s">
        <v>2988</v>
      </c>
      <c r="O104" s="1044">
        <f>1290+3*2*7+70</f>
        <v>1402</v>
      </c>
      <c r="P104" s="115"/>
      <c r="Q104" s="115" t="s">
        <v>1192</v>
      </c>
      <c r="R104" s="682">
        <v>1</v>
      </c>
      <c r="S104" s="361">
        <v>2</v>
      </c>
      <c r="T104" s="361">
        <v>2</v>
      </c>
      <c r="U104" s="918">
        <v>322.5</v>
      </c>
      <c r="V104" s="115">
        <v>44388</v>
      </c>
      <c r="W104" s="115" t="s">
        <v>1338</v>
      </c>
      <c r="X104" s="115" t="s">
        <v>1154</v>
      </c>
      <c r="Y104" s="115"/>
      <c r="Z104" s="115"/>
      <c r="AB104" s="128" t="s">
        <v>1995</v>
      </c>
    </row>
    <row r="105" spans="1:28" s="21" customFormat="1" ht="12" customHeight="1">
      <c r="A105" s="21" t="s">
        <v>1209</v>
      </c>
      <c r="B105" s="21" t="s">
        <v>1210</v>
      </c>
      <c r="C105" s="30">
        <v>41897</v>
      </c>
      <c r="D105" s="30">
        <v>41908</v>
      </c>
      <c r="E105" s="21" t="s">
        <v>1211</v>
      </c>
      <c r="G105" s="764" t="s">
        <v>1212</v>
      </c>
      <c r="H105" s="21" t="s">
        <v>1213</v>
      </c>
      <c r="I105" s="21" t="s">
        <v>18</v>
      </c>
      <c r="J105" s="21" t="s">
        <v>51</v>
      </c>
      <c r="K105" s="21" t="s">
        <v>1214</v>
      </c>
      <c r="N105" s="50" t="s">
        <v>1215</v>
      </c>
      <c r="O105" s="1013">
        <f>2000+50</f>
        <v>2050</v>
      </c>
      <c r="Q105" s="21" t="s">
        <v>1216</v>
      </c>
      <c r="R105" s="876">
        <v>2</v>
      </c>
      <c r="S105" s="764" t="s">
        <v>199</v>
      </c>
      <c r="T105" s="764">
        <v>2</v>
      </c>
      <c r="U105" s="75">
        <v>500</v>
      </c>
      <c r="V105" s="78">
        <v>41656</v>
      </c>
      <c r="W105" s="21" t="s">
        <v>791</v>
      </c>
      <c r="X105" s="21" t="s">
        <v>1217</v>
      </c>
      <c r="AB105" s="50" t="s">
        <v>815</v>
      </c>
    </row>
    <row r="106" spans="1:28" s="21" customFormat="1" ht="12" customHeight="1">
      <c r="A106" s="115" t="s">
        <v>1946</v>
      </c>
      <c r="B106" s="115" t="s">
        <v>1947</v>
      </c>
      <c r="C106" s="116">
        <v>43659</v>
      </c>
      <c r="D106" s="116">
        <v>43673</v>
      </c>
      <c r="E106" s="115" t="s">
        <v>1948</v>
      </c>
      <c r="F106" s="115"/>
      <c r="G106" s="361" t="s">
        <v>1949</v>
      </c>
      <c r="H106" s="115" t="s">
        <v>1950</v>
      </c>
      <c r="I106" s="115" t="s">
        <v>18</v>
      </c>
      <c r="J106" s="115" t="s">
        <v>1023</v>
      </c>
      <c r="K106" s="115"/>
      <c r="L106" s="115" t="s">
        <v>1951</v>
      </c>
      <c r="M106" s="115"/>
      <c r="N106" s="128" t="s">
        <v>2425</v>
      </c>
      <c r="O106" s="1027">
        <v>3980</v>
      </c>
      <c r="P106" s="115"/>
      <c r="Q106" s="115" t="s">
        <v>600</v>
      </c>
      <c r="R106" s="682">
        <v>2</v>
      </c>
      <c r="S106" s="361">
        <v>6</v>
      </c>
      <c r="T106" s="361">
        <v>1</v>
      </c>
      <c r="U106" s="119">
        <v>995</v>
      </c>
      <c r="V106" s="120"/>
      <c r="W106" s="115"/>
      <c r="X106" s="115"/>
      <c r="Y106" s="115"/>
      <c r="Z106" s="115"/>
      <c r="AB106" s="365" t="s">
        <v>1967</v>
      </c>
    </row>
    <row r="107" spans="1:28" s="67" customFormat="1" ht="12" customHeight="1">
      <c r="A107" s="115" t="s">
        <v>1996</v>
      </c>
      <c r="B107" s="115" t="s">
        <v>1990</v>
      </c>
      <c r="C107" s="116">
        <v>43757</v>
      </c>
      <c r="D107" s="116">
        <v>43764</v>
      </c>
      <c r="E107" s="115" t="s">
        <v>1991</v>
      </c>
      <c r="F107" s="115"/>
      <c r="G107" s="361" t="s">
        <v>1992</v>
      </c>
      <c r="H107" s="115" t="s">
        <v>1993</v>
      </c>
      <c r="I107" s="115" t="s">
        <v>18</v>
      </c>
      <c r="J107" s="115" t="s">
        <v>51</v>
      </c>
      <c r="K107" s="115"/>
      <c r="L107" s="115" t="s">
        <v>1994</v>
      </c>
      <c r="M107" s="115"/>
      <c r="N107" s="128" t="s">
        <v>1995</v>
      </c>
      <c r="O107" s="1027">
        <v>690</v>
      </c>
      <c r="P107" s="115"/>
      <c r="Q107" s="115" t="s">
        <v>1500</v>
      </c>
      <c r="R107" s="682">
        <v>1</v>
      </c>
      <c r="S107" s="361">
        <v>2</v>
      </c>
      <c r="T107" s="361">
        <v>1</v>
      </c>
      <c r="U107" s="598">
        <v>172.5</v>
      </c>
      <c r="V107" s="120" t="s">
        <v>2318</v>
      </c>
      <c r="W107" s="115"/>
      <c r="X107" s="115"/>
      <c r="Y107" s="115"/>
      <c r="Z107" s="115"/>
      <c r="AB107" s="50" t="s">
        <v>448</v>
      </c>
    </row>
    <row r="108" spans="1:28" s="21" customFormat="1" ht="12" customHeight="1">
      <c r="A108" s="21" t="s">
        <v>810</v>
      </c>
      <c r="B108" s="21" t="s">
        <v>24</v>
      </c>
      <c r="C108" s="30">
        <v>40902</v>
      </c>
      <c r="D108" s="30">
        <v>40909</v>
      </c>
      <c r="G108" s="764"/>
      <c r="H108" s="21" t="s">
        <v>814</v>
      </c>
      <c r="I108" s="21" t="s">
        <v>18</v>
      </c>
      <c r="J108" s="21" t="s">
        <v>51</v>
      </c>
      <c r="K108" s="21" t="s">
        <v>811</v>
      </c>
      <c r="L108" s="21" t="s">
        <v>812</v>
      </c>
      <c r="N108" s="50" t="s">
        <v>815</v>
      </c>
      <c r="O108" s="1013">
        <f>1050+42+70</f>
        <v>1162</v>
      </c>
      <c r="Q108" s="21" t="s">
        <v>813</v>
      </c>
      <c r="R108" s="876">
        <v>1</v>
      </c>
      <c r="S108" s="764">
        <v>2</v>
      </c>
      <c r="T108" s="764">
        <v>2</v>
      </c>
      <c r="U108" s="22">
        <v>290.5</v>
      </c>
      <c r="AB108" s="49" t="s">
        <v>333</v>
      </c>
    </row>
    <row r="109" spans="1:28" ht="12" customHeight="1" thickBot="1">
      <c r="A109" s="355" t="s">
        <v>1961</v>
      </c>
      <c r="B109" s="355" t="s">
        <v>1962</v>
      </c>
      <c r="C109" s="357">
        <v>43372</v>
      </c>
      <c r="D109" s="357">
        <v>43379</v>
      </c>
      <c r="E109" s="355" t="s">
        <v>1963</v>
      </c>
      <c r="F109" s="355"/>
      <c r="G109" s="358" t="s">
        <v>1964</v>
      </c>
      <c r="H109" s="367" t="s">
        <v>1965</v>
      </c>
      <c r="I109" s="355" t="s">
        <v>18</v>
      </c>
      <c r="J109" s="355" t="s">
        <v>1023</v>
      </c>
      <c r="K109" s="368"/>
      <c r="L109" s="368" t="s">
        <v>1966</v>
      </c>
      <c r="M109" s="355"/>
      <c r="N109" s="365" t="s">
        <v>1967</v>
      </c>
      <c r="O109" s="1036">
        <f>890+21+70</f>
        <v>981</v>
      </c>
      <c r="P109" s="355"/>
      <c r="Q109" s="355" t="s">
        <v>1968</v>
      </c>
      <c r="R109" s="891">
        <v>1</v>
      </c>
      <c r="S109" s="358">
        <v>2</v>
      </c>
      <c r="T109" s="358">
        <v>1</v>
      </c>
      <c r="U109" s="478" t="s">
        <v>1832</v>
      </c>
      <c r="V109" s="360">
        <v>43354</v>
      </c>
      <c r="W109" s="355" t="s">
        <v>1477</v>
      </c>
      <c r="X109" s="355" t="s">
        <v>1154</v>
      </c>
      <c r="Y109" s="355"/>
      <c r="Z109" s="355"/>
      <c r="AB109" s="50" t="s">
        <v>866</v>
      </c>
    </row>
    <row r="110" spans="1:28" ht="12" customHeight="1" thickBot="1">
      <c r="A110" s="38" t="s">
        <v>446</v>
      </c>
      <c r="B110" s="1269" t="s">
        <v>447</v>
      </c>
      <c r="C110" s="30">
        <v>39970</v>
      </c>
      <c r="D110" s="1306">
        <v>39977</v>
      </c>
      <c r="E110" s="1269" t="s">
        <v>452</v>
      </c>
      <c r="F110" s="21"/>
      <c r="G110" s="764">
        <v>76228</v>
      </c>
      <c r="H110" s="21" t="s">
        <v>451</v>
      </c>
      <c r="I110" s="21" t="s">
        <v>18</v>
      </c>
      <c r="J110" s="21" t="s">
        <v>51</v>
      </c>
      <c r="K110" s="21"/>
      <c r="L110" s="21" t="s">
        <v>449</v>
      </c>
      <c r="M110" s="21"/>
      <c r="N110" s="50" t="s">
        <v>448</v>
      </c>
      <c r="O110" s="1013">
        <v>970</v>
      </c>
      <c r="P110" s="21"/>
      <c r="Q110" s="21" t="s">
        <v>450</v>
      </c>
      <c r="R110" s="876">
        <v>1</v>
      </c>
      <c r="S110" s="764">
        <v>3</v>
      </c>
      <c r="T110" s="764">
        <v>1</v>
      </c>
      <c r="U110" s="1357">
        <v>225</v>
      </c>
      <c r="V110" s="21"/>
      <c r="W110" s="21"/>
      <c r="X110" s="21"/>
      <c r="Y110" s="21"/>
      <c r="Z110" s="21"/>
      <c r="AB110" s="51" t="s">
        <v>625</v>
      </c>
    </row>
    <row r="111" spans="1:28" ht="12" customHeight="1" thickBot="1">
      <c r="A111" s="519" t="s">
        <v>328</v>
      </c>
      <c r="B111" s="541" t="s">
        <v>329</v>
      </c>
      <c r="C111" s="1296">
        <v>38507</v>
      </c>
      <c r="D111" s="1317">
        <v>38514</v>
      </c>
      <c r="E111" s="13" t="s">
        <v>330</v>
      </c>
      <c r="G111" s="132">
        <v>54595</v>
      </c>
      <c r="H111" s="8" t="s">
        <v>331</v>
      </c>
      <c r="I111" s="8" t="s">
        <v>18</v>
      </c>
      <c r="J111" s="8" t="s">
        <v>51</v>
      </c>
      <c r="K111" s="8" t="s">
        <v>332</v>
      </c>
      <c r="N111" s="49" t="s">
        <v>333</v>
      </c>
      <c r="O111" s="1014">
        <v>650</v>
      </c>
      <c r="Q111" s="8" t="s">
        <v>271</v>
      </c>
      <c r="R111" s="685">
        <v>1</v>
      </c>
      <c r="S111" s="132" t="s">
        <v>339</v>
      </c>
      <c r="U111" s="8" t="s">
        <v>232</v>
      </c>
      <c r="AB111" s="863" t="s">
        <v>1840</v>
      </c>
    </row>
    <row r="112" spans="1:28" ht="12" customHeight="1" thickBot="1">
      <c r="A112" s="21" t="s">
        <v>867</v>
      </c>
      <c r="B112" s="21" t="s">
        <v>431</v>
      </c>
      <c r="C112" s="30">
        <v>41083</v>
      </c>
      <c r="D112" s="1310">
        <v>41097</v>
      </c>
      <c r="E112" s="1331"/>
      <c r="F112" s="21"/>
      <c r="G112" s="764"/>
      <c r="H112" s="21" t="s">
        <v>868</v>
      </c>
      <c r="I112" s="21" t="s">
        <v>18</v>
      </c>
      <c r="J112" s="21" t="s">
        <v>51</v>
      </c>
      <c r="K112" s="21"/>
      <c r="L112" s="21" t="s">
        <v>945</v>
      </c>
      <c r="M112" s="21"/>
      <c r="N112" s="50" t="s">
        <v>866</v>
      </c>
      <c r="O112" s="1013">
        <f>2240</f>
        <v>2240</v>
      </c>
      <c r="P112" s="21"/>
      <c r="Q112" s="21" t="s">
        <v>791</v>
      </c>
      <c r="R112" s="876">
        <v>2</v>
      </c>
      <c r="S112" s="764">
        <v>4</v>
      </c>
      <c r="T112" s="764"/>
      <c r="U112" s="1367">
        <f>560</f>
        <v>560</v>
      </c>
      <c r="V112" s="21"/>
      <c r="W112" s="21" t="s">
        <v>791</v>
      </c>
      <c r="X112" s="21" t="s">
        <v>870</v>
      </c>
      <c r="Y112" s="21"/>
      <c r="Z112" s="21"/>
      <c r="AB112" s="1115" t="s">
        <v>3158</v>
      </c>
    </row>
    <row r="113" spans="1:28" ht="12" customHeight="1" thickBot="1">
      <c r="A113" s="1256" t="s">
        <v>626</v>
      </c>
      <c r="B113" s="1282" t="s">
        <v>627</v>
      </c>
      <c r="C113" s="30">
        <v>40362</v>
      </c>
      <c r="D113" s="1310">
        <v>40369</v>
      </c>
      <c r="E113" s="1331"/>
      <c r="F113" s="21"/>
      <c r="G113" s="764"/>
      <c r="H113" s="21"/>
      <c r="I113" s="21"/>
      <c r="J113" s="21" t="s">
        <v>51</v>
      </c>
      <c r="K113" s="21"/>
      <c r="L113" s="21"/>
      <c r="M113" s="21"/>
      <c r="N113" s="51" t="s">
        <v>625</v>
      </c>
      <c r="O113" s="1020">
        <v>1390</v>
      </c>
      <c r="P113" s="21"/>
      <c r="Q113" s="21" t="s">
        <v>628</v>
      </c>
      <c r="R113" s="876">
        <v>1</v>
      </c>
      <c r="S113" s="764">
        <v>5</v>
      </c>
      <c r="T113" s="764">
        <v>0</v>
      </c>
      <c r="U113" s="1380">
        <f>O113/4</f>
        <v>347.5</v>
      </c>
      <c r="V113" s="21"/>
      <c r="W113" s="21"/>
      <c r="X113" s="21"/>
      <c r="Y113" s="21"/>
      <c r="Z113" s="21"/>
      <c r="AB113" s="1140" t="s">
        <v>3102</v>
      </c>
    </row>
    <row r="114" spans="1:28" ht="12" customHeight="1" thickBot="1">
      <c r="A114" s="383" t="s">
        <v>1834</v>
      </c>
      <c r="B114" s="383" t="s">
        <v>1835</v>
      </c>
      <c r="C114" s="384">
        <v>43386</v>
      </c>
      <c r="D114" s="1307">
        <v>43393</v>
      </c>
      <c r="E114" s="1330" t="s">
        <v>1836</v>
      </c>
      <c r="F114" s="383"/>
      <c r="G114" s="385" t="s">
        <v>1837</v>
      </c>
      <c r="H114" s="386" t="s">
        <v>1838</v>
      </c>
      <c r="I114" s="383" t="s">
        <v>18</v>
      </c>
      <c r="J114" s="383" t="s">
        <v>51</v>
      </c>
      <c r="K114" s="383"/>
      <c r="L114" s="387" t="s">
        <v>1839</v>
      </c>
      <c r="M114" s="383"/>
      <c r="N114" s="863" t="s">
        <v>1840</v>
      </c>
      <c r="O114" s="1038"/>
      <c r="P114" s="383"/>
      <c r="Q114" s="383" t="s">
        <v>1841</v>
      </c>
      <c r="R114" s="892"/>
      <c r="S114" s="385">
        <v>5</v>
      </c>
      <c r="T114" s="385">
        <v>2</v>
      </c>
      <c r="U114" s="390"/>
      <c r="V114" s="391">
        <v>43046</v>
      </c>
      <c r="W114" s="383"/>
      <c r="X114" s="383" t="s">
        <v>1154</v>
      </c>
      <c r="Y114" s="383"/>
      <c r="Z114" s="383"/>
      <c r="AB114" s="69" t="s">
        <v>1881</v>
      </c>
    </row>
    <row r="115" spans="1:28" ht="12" customHeight="1" thickBot="1">
      <c r="A115" s="1249" t="s">
        <v>3156</v>
      </c>
      <c r="B115" s="1279" t="s">
        <v>538</v>
      </c>
      <c r="C115" s="1091">
        <v>44639</v>
      </c>
      <c r="D115" s="1320">
        <v>44646</v>
      </c>
      <c r="E115" s="1337"/>
      <c r="F115" s="1090"/>
      <c r="G115" s="1092"/>
      <c r="H115" s="1090"/>
      <c r="I115" s="1090" t="s">
        <v>18</v>
      </c>
      <c r="J115" s="1090" t="s">
        <v>51</v>
      </c>
      <c r="K115" s="1093"/>
      <c r="L115" s="1090" t="s">
        <v>3157</v>
      </c>
      <c r="M115" s="1090"/>
      <c r="N115" s="1115" t="s">
        <v>3158</v>
      </c>
      <c r="O115" s="1094">
        <f>890+42</f>
        <v>932</v>
      </c>
      <c r="P115" s="1090"/>
      <c r="Q115" s="1090" t="s">
        <v>1192</v>
      </c>
      <c r="R115" s="1095">
        <v>1</v>
      </c>
      <c r="S115" s="1092">
        <v>2</v>
      </c>
      <c r="T115" s="1092">
        <v>2</v>
      </c>
      <c r="U115" s="1377">
        <v>222.5</v>
      </c>
      <c r="V115" s="1090">
        <v>44598</v>
      </c>
      <c r="W115" s="1090" t="s">
        <v>1477</v>
      </c>
      <c r="X115" s="1090" t="s">
        <v>1154</v>
      </c>
      <c r="Y115" s="1090"/>
      <c r="Z115" s="1090"/>
      <c r="AB115" s="850" t="s">
        <v>1930</v>
      </c>
    </row>
    <row r="116" spans="1:28" ht="12" customHeight="1" thickBot="1">
      <c r="A116" s="1259" t="s">
        <v>3097</v>
      </c>
      <c r="B116" s="1284" t="s">
        <v>847</v>
      </c>
      <c r="C116" s="1137">
        <v>44779</v>
      </c>
      <c r="D116" s="1322">
        <v>44793</v>
      </c>
      <c r="E116" s="1340" t="s">
        <v>3098</v>
      </c>
      <c r="F116" s="1136"/>
      <c r="G116" s="1139" t="s">
        <v>3099</v>
      </c>
      <c r="H116" s="1138" t="s">
        <v>3100</v>
      </c>
      <c r="I116" s="1136" t="s">
        <v>18</v>
      </c>
      <c r="J116" s="1136" t="s">
        <v>1023</v>
      </c>
      <c r="K116" s="1136"/>
      <c r="L116" s="1138" t="s">
        <v>3101</v>
      </c>
      <c r="M116" s="1136"/>
      <c r="N116" s="1140" t="s">
        <v>3102</v>
      </c>
      <c r="O116" s="1141">
        <f>1990*2+70</f>
        <v>4050</v>
      </c>
      <c r="P116" s="1136"/>
      <c r="Q116" s="1136" t="s">
        <v>3094</v>
      </c>
      <c r="R116" s="1142">
        <v>2</v>
      </c>
      <c r="S116" s="1139">
        <v>4</v>
      </c>
      <c r="T116" s="1139">
        <v>2</v>
      </c>
      <c r="U116" s="1366">
        <v>995</v>
      </c>
      <c r="V116" s="1136">
        <v>44510</v>
      </c>
      <c r="W116" s="1136" t="s">
        <v>1338</v>
      </c>
      <c r="X116" s="1136" t="s">
        <v>1154</v>
      </c>
      <c r="Y116" s="1136"/>
      <c r="Z116" s="1136"/>
      <c r="AB116" s="1140" t="s">
        <v>2997</v>
      </c>
    </row>
    <row r="117" spans="1:28" ht="12" customHeight="1">
      <c r="A117" s="67" t="s">
        <v>1322</v>
      </c>
      <c r="B117" s="67" t="s">
        <v>538</v>
      </c>
      <c r="C117" s="68">
        <v>42182</v>
      </c>
      <c r="D117" s="68">
        <v>42189</v>
      </c>
      <c r="E117" s="67" t="s">
        <v>1323</v>
      </c>
      <c r="F117" s="67"/>
      <c r="G117" s="803" t="s">
        <v>1324</v>
      </c>
      <c r="H117" s="67" t="s">
        <v>1325</v>
      </c>
      <c r="I117" s="67" t="s">
        <v>18</v>
      </c>
      <c r="J117" s="67" t="s">
        <v>51</v>
      </c>
      <c r="K117" s="67" t="s">
        <v>1326</v>
      </c>
      <c r="L117" s="67" t="s">
        <v>1327</v>
      </c>
      <c r="M117" s="67"/>
      <c r="N117" s="69" t="s">
        <v>1881</v>
      </c>
      <c r="O117" s="1023">
        <f>1390-1040</f>
        <v>350</v>
      </c>
      <c r="P117" s="67"/>
      <c r="Q117" s="67" t="s">
        <v>1192</v>
      </c>
      <c r="R117" s="883">
        <v>1</v>
      </c>
      <c r="S117" s="803" t="s">
        <v>199</v>
      </c>
      <c r="T117" s="803">
        <v>2</v>
      </c>
      <c r="U117" s="1378">
        <v>350</v>
      </c>
      <c r="V117" s="94">
        <v>41947</v>
      </c>
      <c r="W117" s="67" t="s">
        <v>1329</v>
      </c>
      <c r="X117" s="67" t="s">
        <v>1154</v>
      </c>
      <c r="Y117" s="67"/>
      <c r="Z117" s="67"/>
      <c r="AB117" s="128" t="s">
        <v>1719</v>
      </c>
    </row>
    <row r="118" spans="1:28" ht="12" customHeight="1">
      <c r="A118" s="408" t="s">
        <v>1923</v>
      </c>
      <c r="B118" s="408" t="s">
        <v>1924</v>
      </c>
      <c r="C118" s="409">
        <v>43387</v>
      </c>
      <c r="D118" s="409">
        <v>43400</v>
      </c>
      <c r="E118" s="408" t="s">
        <v>1925</v>
      </c>
      <c r="F118" s="408"/>
      <c r="G118" s="410" t="s">
        <v>1926</v>
      </c>
      <c r="H118" s="411" t="s">
        <v>1927</v>
      </c>
      <c r="I118" s="408" t="s">
        <v>18</v>
      </c>
      <c r="J118" s="408" t="s">
        <v>51</v>
      </c>
      <c r="K118" s="408" t="s">
        <v>1928</v>
      </c>
      <c r="L118" s="412" t="s">
        <v>1929</v>
      </c>
      <c r="M118" s="408"/>
      <c r="N118" s="850" t="s">
        <v>1930</v>
      </c>
      <c r="O118" s="1031">
        <v>1380</v>
      </c>
      <c r="P118" s="408"/>
      <c r="Q118" s="408" t="s">
        <v>1931</v>
      </c>
      <c r="R118" s="889">
        <v>2</v>
      </c>
      <c r="S118" s="410">
        <v>3</v>
      </c>
      <c r="T118" s="410">
        <v>3</v>
      </c>
      <c r="U118" s="415" t="s">
        <v>1932</v>
      </c>
      <c r="V118" s="416">
        <v>43262</v>
      </c>
      <c r="W118" s="408" t="s">
        <v>1477</v>
      </c>
      <c r="X118" s="408" t="s">
        <v>1154</v>
      </c>
      <c r="Y118" s="408" t="s">
        <v>1980</v>
      </c>
      <c r="Z118" s="408"/>
      <c r="AB118" s="866" t="s">
        <v>1981</v>
      </c>
    </row>
    <row r="119" spans="1:28" ht="12" hidden="1" customHeight="1">
      <c r="A119" s="1136" t="s">
        <v>2991</v>
      </c>
      <c r="B119" s="1136" t="s">
        <v>2992</v>
      </c>
      <c r="C119" s="1137">
        <v>44737</v>
      </c>
      <c r="D119" s="1137">
        <v>44751</v>
      </c>
      <c r="E119" s="1138" t="s">
        <v>2993</v>
      </c>
      <c r="F119" s="1136"/>
      <c r="G119" s="1139" t="s">
        <v>2995</v>
      </c>
      <c r="H119" s="1138" t="s">
        <v>2994</v>
      </c>
      <c r="I119" s="1136" t="s">
        <v>18</v>
      </c>
      <c r="J119" s="1136" t="s">
        <v>51</v>
      </c>
      <c r="K119" s="1136"/>
      <c r="L119" s="1138" t="s">
        <v>2996</v>
      </c>
      <c r="M119" s="1136"/>
      <c r="N119" s="1140" t="s">
        <v>2997</v>
      </c>
      <c r="O119" s="1141">
        <f>1990*2</f>
        <v>3980</v>
      </c>
      <c r="P119" s="1136"/>
      <c r="Q119" s="1136" t="s">
        <v>1899</v>
      </c>
      <c r="R119" s="1142">
        <v>2</v>
      </c>
      <c r="S119" s="1139">
        <v>4</v>
      </c>
      <c r="T119" s="1139">
        <v>3</v>
      </c>
      <c r="U119" s="1366" t="s">
        <v>3005</v>
      </c>
      <c r="V119" s="1136">
        <v>44403</v>
      </c>
      <c r="W119" s="1136"/>
      <c r="X119" s="1136"/>
      <c r="Y119" s="1136"/>
      <c r="Z119" s="1136"/>
      <c r="AB119" s="128" t="s">
        <v>1719</v>
      </c>
    </row>
    <row r="120" spans="1:28" ht="12" customHeight="1">
      <c r="A120" s="845" t="s">
        <v>1544</v>
      </c>
      <c r="B120" s="845" t="s">
        <v>1545</v>
      </c>
      <c r="C120" s="846">
        <v>42623</v>
      </c>
      <c r="D120" s="846">
        <v>42630</v>
      </c>
      <c r="E120" s="845" t="s">
        <v>1549</v>
      </c>
      <c r="F120" s="845"/>
      <c r="G120" s="847" t="s">
        <v>1550</v>
      </c>
      <c r="H120" s="845" t="s">
        <v>1551</v>
      </c>
      <c r="I120" s="845" t="s">
        <v>18</v>
      </c>
      <c r="J120" s="845" t="s">
        <v>51</v>
      </c>
      <c r="K120" s="845"/>
      <c r="L120" s="845" t="s">
        <v>1546</v>
      </c>
      <c r="M120" s="845"/>
      <c r="N120" s="128" t="s">
        <v>1719</v>
      </c>
      <c r="O120" s="1030">
        <f>(1190+1090+990)/4 +1190*3/4+9*7+70</f>
        <v>1843</v>
      </c>
      <c r="P120" s="845"/>
      <c r="Q120" s="845" t="s">
        <v>1548</v>
      </c>
      <c r="R120" s="888">
        <v>1</v>
      </c>
      <c r="S120" s="847" t="s">
        <v>1300</v>
      </c>
      <c r="T120" s="847">
        <v>3</v>
      </c>
      <c r="U120" s="1362"/>
      <c r="V120" s="848">
        <v>42435</v>
      </c>
      <c r="W120" s="845"/>
      <c r="X120" s="845" t="s">
        <v>1154</v>
      </c>
      <c r="Y120" s="845"/>
      <c r="Z120" s="845"/>
      <c r="AB120" s="128" t="s">
        <v>3154</v>
      </c>
    </row>
    <row r="121" spans="1:28" s="21" customFormat="1" ht="12" customHeight="1">
      <c r="A121" s="115" t="s">
        <v>1715</v>
      </c>
      <c r="B121" s="115" t="s">
        <v>1714</v>
      </c>
      <c r="C121" s="116">
        <v>42987</v>
      </c>
      <c r="D121" s="116">
        <v>42994</v>
      </c>
      <c r="E121" s="115" t="s">
        <v>1716</v>
      </c>
      <c r="F121" s="115"/>
      <c r="G121" s="361" t="s">
        <v>1717</v>
      </c>
      <c r="H121" s="115" t="s">
        <v>1718</v>
      </c>
      <c r="I121" s="115" t="s">
        <v>18</v>
      </c>
      <c r="J121" s="115" t="s">
        <v>51</v>
      </c>
      <c r="K121" s="115" t="s">
        <v>1720</v>
      </c>
      <c r="L121" s="115"/>
      <c r="M121" s="115"/>
      <c r="N121" s="128" t="s">
        <v>1719</v>
      </c>
      <c r="O121" s="1027">
        <v>1190</v>
      </c>
      <c r="P121" s="115"/>
      <c r="Q121" s="118"/>
      <c r="R121" s="682">
        <v>1</v>
      </c>
      <c r="S121" s="361" t="s">
        <v>1025</v>
      </c>
      <c r="T121" s="361">
        <v>1</v>
      </c>
      <c r="U121" s="119">
        <v>298</v>
      </c>
      <c r="V121" s="115">
        <v>42800</v>
      </c>
      <c r="W121" s="115" t="s">
        <v>1651</v>
      </c>
      <c r="X121" s="115" t="s">
        <v>1154</v>
      </c>
      <c r="Y121" s="115"/>
      <c r="Z121" s="115"/>
      <c r="AB121" s="50" t="s">
        <v>1311</v>
      </c>
    </row>
    <row r="122" spans="1:28" s="21" customFormat="1" ht="12" customHeight="1">
      <c r="A122" s="451" t="s">
        <v>1982</v>
      </c>
      <c r="B122" s="451" t="s">
        <v>1983</v>
      </c>
      <c r="C122" s="452">
        <v>43231</v>
      </c>
      <c r="D122" s="452">
        <v>43245</v>
      </c>
      <c r="E122" s="451" t="s">
        <v>1984</v>
      </c>
      <c r="F122" s="451"/>
      <c r="G122" s="453" t="s">
        <v>1985</v>
      </c>
      <c r="H122" s="474" t="s">
        <v>1986</v>
      </c>
      <c r="I122" s="451" t="s">
        <v>18</v>
      </c>
      <c r="J122" s="451" t="s">
        <v>51</v>
      </c>
      <c r="K122" s="451"/>
      <c r="L122" s="475" t="s">
        <v>1987</v>
      </c>
      <c r="M122" s="451"/>
      <c r="N122" s="866" t="s">
        <v>1981</v>
      </c>
      <c r="O122" s="1039"/>
      <c r="P122" s="451"/>
      <c r="Q122" s="451" t="s">
        <v>1988</v>
      </c>
      <c r="R122" s="893"/>
      <c r="S122" s="453">
        <v>4</v>
      </c>
      <c r="T122" s="453">
        <v>2</v>
      </c>
      <c r="U122" s="754"/>
      <c r="V122" s="456" t="s">
        <v>1989</v>
      </c>
      <c r="W122" s="451"/>
      <c r="X122" s="451"/>
      <c r="Y122" s="451"/>
      <c r="Z122" s="451"/>
      <c r="AB122" s="128" t="s">
        <v>1848</v>
      </c>
    </row>
    <row r="123" spans="1:28" s="21" customFormat="1" ht="12" customHeight="1">
      <c r="A123" s="115" t="s">
        <v>3149</v>
      </c>
      <c r="B123" s="115" t="s">
        <v>3148</v>
      </c>
      <c r="C123" s="116">
        <v>44653</v>
      </c>
      <c r="D123" s="116">
        <v>44660</v>
      </c>
      <c r="E123" s="115" t="s">
        <v>3150</v>
      </c>
      <c r="F123" s="115"/>
      <c r="G123" s="361" t="s">
        <v>3151</v>
      </c>
      <c r="H123" s="115" t="s">
        <v>3152</v>
      </c>
      <c r="I123" s="115" t="s">
        <v>18</v>
      </c>
      <c r="J123" s="115" t="s">
        <v>51</v>
      </c>
      <c r="K123" s="124"/>
      <c r="L123" s="115" t="s">
        <v>3153</v>
      </c>
      <c r="M123" s="115"/>
      <c r="N123" s="128" t="s">
        <v>3154</v>
      </c>
      <c r="O123" s="1044">
        <v>890</v>
      </c>
      <c r="P123" s="115"/>
      <c r="Q123" s="115" t="s">
        <v>3155</v>
      </c>
      <c r="R123" s="682">
        <v>1</v>
      </c>
      <c r="S123" s="361">
        <v>3</v>
      </c>
      <c r="T123" s="361">
        <v>2</v>
      </c>
      <c r="U123" s="918">
        <v>222.5</v>
      </c>
      <c r="V123" s="115">
        <v>44594</v>
      </c>
      <c r="W123" s="115" t="s">
        <v>1338</v>
      </c>
      <c r="X123" s="115" t="s">
        <v>1154</v>
      </c>
      <c r="Y123" s="115"/>
      <c r="Z123" s="115"/>
      <c r="AB123" s="50" t="s">
        <v>859</v>
      </c>
    </row>
    <row r="124" spans="1:28" s="21" customFormat="1" ht="12" customHeight="1">
      <c r="A124" s="21" t="s">
        <v>1305</v>
      </c>
      <c r="B124" s="21" t="s">
        <v>857</v>
      </c>
      <c r="C124" s="30">
        <v>42147</v>
      </c>
      <c r="D124" s="30">
        <v>42154</v>
      </c>
      <c r="E124" s="21" t="s">
        <v>1306</v>
      </c>
      <c r="G124" s="764" t="s">
        <v>1307</v>
      </c>
      <c r="H124" s="21" t="s">
        <v>1308</v>
      </c>
      <c r="I124" s="21" t="s">
        <v>18</v>
      </c>
      <c r="J124" s="21" t="s">
        <v>51</v>
      </c>
      <c r="K124" s="21" t="s">
        <v>1309</v>
      </c>
      <c r="L124" s="21" t="s">
        <v>1310</v>
      </c>
      <c r="N124" s="50" t="s">
        <v>1311</v>
      </c>
      <c r="O124" s="1013">
        <f>890+21</f>
        <v>911</v>
      </c>
      <c r="Q124" s="21" t="s">
        <v>1426</v>
      </c>
      <c r="R124" s="876">
        <v>1</v>
      </c>
      <c r="S124" s="764" t="s">
        <v>1312</v>
      </c>
      <c r="T124" s="764">
        <v>1</v>
      </c>
      <c r="U124" s="75">
        <f>890/4</f>
        <v>222.5</v>
      </c>
      <c r="V124" s="78">
        <v>41924</v>
      </c>
      <c r="W124" s="21" t="s">
        <v>791</v>
      </c>
      <c r="X124" s="21" t="s">
        <v>1154</v>
      </c>
      <c r="AB124" s="50" t="s">
        <v>437</v>
      </c>
    </row>
    <row r="125" spans="1:28" s="21" customFormat="1" ht="12" customHeight="1">
      <c r="A125" s="115" t="s">
        <v>1851</v>
      </c>
      <c r="B125" s="115" t="s">
        <v>1842</v>
      </c>
      <c r="C125" s="116">
        <v>43218</v>
      </c>
      <c r="D125" s="116">
        <v>43225</v>
      </c>
      <c r="E125" s="115" t="s">
        <v>1843</v>
      </c>
      <c r="F125" s="115"/>
      <c r="G125" s="361" t="s">
        <v>1844</v>
      </c>
      <c r="H125" s="364" t="s">
        <v>1845</v>
      </c>
      <c r="I125" s="115" t="s">
        <v>18</v>
      </c>
      <c r="J125" s="115" t="s">
        <v>51</v>
      </c>
      <c r="K125" s="115" t="s">
        <v>1846</v>
      </c>
      <c r="L125" s="124" t="s">
        <v>1847</v>
      </c>
      <c r="M125" s="115"/>
      <c r="N125" s="128" t="s">
        <v>1848</v>
      </c>
      <c r="O125" s="1027">
        <f>790+21+70</f>
        <v>881</v>
      </c>
      <c r="P125" s="115"/>
      <c r="Q125" s="115" t="s">
        <v>1849</v>
      </c>
      <c r="R125" s="682">
        <v>1</v>
      </c>
      <c r="S125" s="361">
        <v>2</v>
      </c>
      <c r="T125" s="361">
        <v>1</v>
      </c>
      <c r="U125" s="119">
        <v>200</v>
      </c>
      <c r="V125" s="120">
        <v>43050</v>
      </c>
      <c r="W125" s="115" t="s">
        <v>1850</v>
      </c>
      <c r="X125" s="115" t="s">
        <v>1154</v>
      </c>
      <c r="Y125" s="115"/>
      <c r="Z125" s="115"/>
      <c r="AB125" s="108" t="s">
        <v>776</v>
      </c>
    </row>
    <row r="126" spans="1:28" s="21" customFormat="1" ht="12" customHeight="1">
      <c r="A126" s="21" t="s">
        <v>858</v>
      </c>
      <c r="B126" s="21" t="s">
        <v>857</v>
      </c>
      <c r="C126" s="30">
        <v>41139</v>
      </c>
      <c r="D126" s="30">
        <v>41153</v>
      </c>
      <c r="E126" s="805" t="s">
        <v>854</v>
      </c>
      <c r="G126" s="764" t="s">
        <v>855</v>
      </c>
      <c r="H126" s="21" t="s">
        <v>856</v>
      </c>
      <c r="I126" s="21" t="s">
        <v>18</v>
      </c>
      <c r="J126" s="21" t="s">
        <v>51</v>
      </c>
      <c r="K126" s="21" t="s">
        <v>863</v>
      </c>
      <c r="L126" s="21" t="s">
        <v>862</v>
      </c>
      <c r="N126" s="50" t="s">
        <v>859</v>
      </c>
      <c r="O126" s="1013">
        <f>1590+1390+42+70</f>
        <v>3092</v>
      </c>
      <c r="Q126" s="21" t="s">
        <v>864</v>
      </c>
      <c r="R126" s="876">
        <v>2</v>
      </c>
      <c r="S126" s="764" t="s">
        <v>864</v>
      </c>
      <c r="T126" s="764" t="s">
        <v>860</v>
      </c>
      <c r="U126" s="77">
        <f>O126/4</f>
        <v>773</v>
      </c>
      <c r="V126" s="78">
        <v>40941</v>
      </c>
      <c r="AB126" s="128" t="s">
        <v>2896</v>
      </c>
    </row>
    <row r="127" spans="1:28" s="21" customFormat="1" ht="12" customHeight="1">
      <c r="A127" s="21" t="s">
        <v>438</v>
      </c>
      <c r="B127" s="21" t="s">
        <v>439</v>
      </c>
      <c r="C127" s="30">
        <v>39599</v>
      </c>
      <c r="D127" s="30">
        <v>39606</v>
      </c>
      <c r="E127" s="21" t="s">
        <v>441</v>
      </c>
      <c r="G127" s="764">
        <v>5034</v>
      </c>
      <c r="H127" s="21" t="s">
        <v>442</v>
      </c>
      <c r="I127" s="21" t="s">
        <v>168</v>
      </c>
      <c r="J127" s="21" t="s">
        <v>51</v>
      </c>
      <c r="L127" s="21" t="s">
        <v>443</v>
      </c>
      <c r="N127" s="50" t="s">
        <v>437</v>
      </c>
      <c r="O127" s="1013">
        <v>970</v>
      </c>
      <c r="R127" s="876">
        <v>1</v>
      </c>
      <c r="S127" s="764">
        <v>2</v>
      </c>
      <c r="T127" s="764"/>
      <c r="U127" s="23">
        <v>225</v>
      </c>
      <c r="AB127" s="128" t="s">
        <v>1777</v>
      </c>
    </row>
    <row r="128" spans="1:28" s="21" customFormat="1" ht="12" customHeight="1">
      <c r="A128" s="102" t="s">
        <v>775</v>
      </c>
      <c r="B128" s="102" t="s">
        <v>829</v>
      </c>
      <c r="C128" s="103">
        <v>41916</v>
      </c>
      <c r="D128" s="103">
        <v>41930</v>
      </c>
      <c r="E128" s="102" t="s">
        <v>773</v>
      </c>
      <c r="F128" s="102"/>
      <c r="G128" s="816" t="s">
        <v>774</v>
      </c>
      <c r="H128" s="102" t="s">
        <v>772</v>
      </c>
      <c r="I128" s="102" t="s">
        <v>168</v>
      </c>
      <c r="J128" s="102" t="s">
        <v>51</v>
      </c>
      <c r="K128" s="102" t="s">
        <v>1171</v>
      </c>
      <c r="L128" s="102" t="s">
        <v>777</v>
      </c>
      <c r="M128" s="102"/>
      <c r="N128" s="108" t="s">
        <v>776</v>
      </c>
      <c r="O128" s="1024">
        <v>0</v>
      </c>
      <c r="P128" s="102"/>
      <c r="Q128" s="102" t="s">
        <v>1184</v>
      </c>
      <c r="R128" s="884">
        <v>0</v>
      </c>
      <c r="S128" s="816">
        <v>5</v>
      </c>
      <c r="T128" s="816"/>
      <c r="U128" s="105">
        <v>420</v>
      </c>
      <c r="V128" s="106">
        <v>41542</v>
      </c>
      <c r="W128" s="102" t="s">
        <v>1170</v>
      </c>
      <c r="X128" s="102" t="s">
        <v>1154</v>
      </c>
      <c r="Y128" s="102"/>
      <c r="Z128" s="102"/>
      <c r="AB128" s="50" t="s">
        <v>1153</v>
      </c>
    </row>
    <row r="129" spans="1:28" s="21" customFormat="1" ht="12" customHeight="1">
      <c r="A129" s="115" t="s">
        <v>2894</v>
      </c>
      <c r="B129" s="115" t="s">
        <v>2893</v>
      </c>
      <c r="C129" s="116">
        <v>44443</v>
      </c>
      <c r="D129" s="116">
        <v>44450</v>
      </c>
      <c r="E129" s="361" t="s">
        <v>2931</v>
      </c>
      <c r="F129" s="115"/>
      <c r="G129" s="115" t="s">
        <v>2932</v>
      </c>
      <c r="H129" s="115" t="s">
        <v>2933</v>
      </c>
      <c r="I129" s="115" t="s">
        <v>18</v>
      </c>
      <c r="J129" s="115" t="s">
        <v>51</v>
      </c>
      <c r="K129" s="124"/>
      <c r="L129" s="115" t="s">
        <v>2895</v>
      </c>
      <c r="M129" s="115"/>
      <c r="N129" s="128" t="s">
        <v>2896</v>
      </c>
      <c r="O129" s="1027">
        <f>990+600+3*3*7+70</f>
        <v>1723</v>
      </c>
      <c r="P129" s="115"/>
      <c r="Q129" s="115" t="s">
        <v>1321</v>
      </c>
      <c r="R129" s="682">
        <v>1</v>
      </c>
      <c r="S129" s="361">
        <v>2</v>
      </c>
      <c r="T129" s="361">
        <v>3</v>
      </c>
      <c r="U129" s="918">
        <v>250</v>
      </c>
      <c r="V129" s="115">
        <v>44270</v>
      </c>
      <c r="W129" s="115" t="s">
        <v>1477</v>
      </c>
      <c r="X129" s="115" t="s">
        <v>1154</v>
      </c>
      <c r="Y129" s="115"/>
      <c r="Z129" s="115"/>
      <c r="AB129" s="50" t="s">
        <v>1336</v>
      </c>
    </row>
    <row r="130" spans="1:28" s="21" customFormat="1" ht="12" customHeight="1">
      <c r="A130" s="115" t="s">
        <v>1771</v>
      </c>
      <c r="B130" s="115" t="s">
        <v>1772</v>
      </c>
      <c r="C130" s="116">
        <v>43002</v>
      </c>
      <c r="D130" s="116">
        <v>43008</v>
      </c>
      <c r="E130" s="115" t="s">
        <v>1773</v>
      </c>
      <c r="F130" s="115"/>
      <c r="G130" s="361"/>
      <c r="H130" s="115" t="s">
        <v>1774</v>
      </c>
      <c r="I130" s="115" t="s">
        <v>1775</v>
      </c>
      <c r="J130" s="115" t="s">
        <v>51</v>
      </c>
      <c r="K130" s="115"/>
      <c r="L130" s="115" t="s">
        <v>1776</v>
      </c>
      <c r="M130" s="115"/>
      <c r="N130" s="128" t="s">
        <v>1777</v>
      </c>
      <c r="O130" s="1027">
        <v>990</v>
      </c>
      <c r="P130" s="115"/>
      <c r="Q130" s="115" t="s">
        <v>1025</v>
      </c>
      <c r="R130" s="682">
        <v>1</v>
      </c>
      <c r="S130" s="361">
        <v>2</v>
      </c>
      <c r="T130" s="361">
        <v>1</v>
      </c>
      <c r="U130" s="119">
        <v>250</v>
      </c>
      <c r="V130" s="115"/>
      <c r="W130" s="115" t="s">
        <v>1477</v>
      </c>
      <c r="X130" s="115"/>
      <c r="Y130" s="115"/>
      <c r="Z130" s="115"/>
      <c r="AB130" s="365" t="s">
        <v>2277</v>
      </c>
    </row>
    <row r="131" spans="1:28" s="21" customFormat="1" ht="12" customHeight="1">
      <c r="A131" s="21" t="s">
        <v>1147</v>
      </c>
      <c r="B131" s="21" t="s">
        <v>1148</v>
      </c>
      <c r="C131" s="30">
        <v>41769</v>
      </c>
      <c r="D131" s="30">
        <v>41783</v>
      </c>
      <c r="E131" s="21" t="s">
        <v>1149</v>
      </c>
      <c r="G131" s="764" t="s">
        <v>1150</v>
      </c>
      <c r="H131" s="21" t="s">
        <v>1151</v>
      </c>
      <c r="I131" s="21" t="s">
        <v>18</v>
      </c>
      <c r="J131" s="21" t="s">
        <v>51</v>
      </c>
      <c r="L131" s="21" t="s">
        <v>1152</v>
      </c>
      <c r="N131" s="50" t="s">
        <v>1153</v>
      </c>
      <c r="O131" s="1013">
        <f>790*2</f>
        <v>1580</v>
      </c>
      <c r="Q131" s="21" t="s">
        <v>1267</v>
      </c>
      <c r="R131" s="876">
        <v>2</v>
      </c>
      <c r="S131" s="764" t="s">
        <v>1025</v>
      </c>
      <c r="T131" s="764">
        <v>1</v>
      </c>
      <c r="U131" s="75">
        <f>O131/4</f>
        <v>395</v>
      </c>
      <c r="V131" s="78">
        <v>41467</v>
      </c>
      <c r="W131" s="21" t="s">
        <v>791</v>
      </c>
      <c r="X131" s="21" t="s">
        <v>1154</v>
      </c>
      <c r="Y131" s="21">
        <f>1580/4</f>
        <v>395</v>
      </c>
      <c r="Z131" s="21" t="s">
        <v>1172</v>
      </c>
      <c r="AB131" s="992" t="s">
        <v>673</v>
      </c>
    </row>
    <row r="132" spans="1:28" s="21" customFormat="1" ht="12" customHeight="1">
      <c r="A132" s="21" t="s">
        <v>1330</v>
      </c>
      <c r="B132" s="21" t="s">
        <v>1331</v>
      </c>
      <c r="C132" s="30">
        <v>42001</v>
      </c>
      <c r="D132" s="30">
        <v>42022</v>
      </c>
      <c r="E132" s="21" t="s">
        <v>1332</v>
      </c>
      <c r="G132" s="764" t="s">
        <v>1333</v>
      </c>
      <c r="H132" s="21" t="s">
        <v>1334</v>
      </c>
      <c r="I132" s="21" t="s">
        <v>18</v>
      </c>
      <c r="J132" s="21" t="s">
        <v>51</v>
      </c>
      <c r="L132" s="21" t="s">
        <v>1335</v>
      </c>
      <c r="N132" s="50" t="s">
        <v>1336</v>
      </c>
      <c r="O132" s="1013">
        <f>960+180</f>
        <v>1140</v>
      </c>
      <c r="Q132" s="21" t="s">
        <v>1337</v>
      </c>
      <c r="R132" s="876">
        <v>1</v>
      </c>
      <c r="S132" s="764">
        <v>2</v>
      </c>
      <c r="T132" s="764">
        <v>3</v>
      </c>
      <c r="U132" s="75"/>
      <c r="V132" s="78">
        <v>41962</v>
      </c>
      <c r="W132" s="21" t="s">
        <v>1338</v>
      </c>
      <c r="X132" s="21" t="s">
        <v>1217</v>
      </c>
      <c r="AB132" s="128" t="s">
        <v>2625</v>
      </c>
    </row>
    <row r="133" spans="1:28" s="21" customFormat="1" ht="12" customHeight="1">
      <c r="A133" s="355" t="s">
        <v>2271</v>
      </c>
      <c r="B133" s="355" t="s">
        <v>2286</v>
      </c>
      <c r="C133" s="357">
        <v>43596</v>
      </c>
      <c r="D133" s="357">
        <v>43603</v>
      </c>
      <c r="E133" s="355" t="s">
        <v>2272</v>
      </c>
      <c r="F133" s="355"/>
      <c r="G133" s="358" t="s">
        <v>2273</v>
      </c>
      <c r="H133" s="367" t="s">
        <v>2274</v>
      </c>
      <c r="I133" s="355" t="s">
        <v>168</v>
      </c>
      <c r="J133" s="355" t="s">
        <v>1023</v>
      </c>
      <c r="K133" s="355" t="s">
        <v>2276</v>
      </c>
      <c r="L133" s="368" t="s">
        <v>2275</v>
      </c>
      <c r="M133" s="355"/>
      <c r="N133" s="365" t="s">
        <v>2277</v>
      </c>
      <c r="O133" s="1036">
        <v>890</v>
      </c>
      <c r="P133" s="355"/>
      <c r="Q133" s="355" t="s">
        <v>2278</v>
      </c>
      <c r="R133" s="891">
        <v>1</v>
      </c>
      <c r="S133" s="358">
        <v>3</v>
      </c>
      <c r="T133" s="358">
        <v>2</v>
      </c>
      <c r="U133" s="356" t="s">
        <v>1832</v>
      </c>
      <c r="V133" s="360">
        <v>43561</v>
      </c>
      <c r="W133" s="355"/>
      <c r="X133" s="355"/>
      <c r="Y133" s="355"/>
      <c r="Z133" s="355"/>
      <c r="AB133" s="121" t="s">
        <v>3226</v>
      </c>
    </row>
    <row r="134" spans="1:28" s="21" customFormat="1" ht="12" customHeight="1">
      <c r="A134" s="21" t="s">
        <v>668</v>
      </c>
      <c r="B134" s="21" t="s">
        <v>256</v>
      </c>
      <c r="C134" s="30">
        <v>40542</v>
      </c>
      <c r="D134" s="30">
        <v>40551</v>
      </c>
      <c r="E134" s="21" t="s">
        <v>669</v>
      </c>
      <c r="G134" s="764" t="s">
        <v>670</v>
      </c>
      <c r="H134" s="21" t="s">
        <v>671</v>
      </c>
      <c r="I134" s="21" t="s">
        <v>18</v>
      </c>
      <c r="J134" s="21" t="s">
        <v>51</v>
      </c>
      <c r="L134" s="21" t="s">
        <v>672</v>
      </c>
      <c r="N134" s="992" t="s">
        <v>673</v>
      </c>
      <c r="O134" s="1348">
        <v>1050</v>
      </c>
      <c r="Q134" s="21" t="s">
        <v>674</v>
      </c>
      <c r="R134" s="876">
        <v>1</v>
      </c>
      <c r="S134" s="764">
        <v>4</v>
      </c>
      <c r="T134" s="764">
        <v>0</v>
      </c>
      <c r="U134" s="23">
        <v>300</v>
      </c>
      <c r="AB134" s="49" t="s">
        <v>286</v>
      </c>
    </row>
    <row r="135" spans="1:28" s="21" customFormat="1" ht="12" customHeight="1">
      <c r="A135" s="115" t="s">
        <v>2620</v>
      </c>
      <c r="B135" s="115" t="s">
        <v>2694</v>
      </c>
      <c r="C135" s="116">
        <v>44065</v>
      </c>
      <c r="D135" s="116">
        <v>44079</v>
      </c>
      <c r="E135" s="115" t="s">
        <v>2621</v>
      </c>
      <c r="F135" s="115"/>
      <c r="G135" s="361" t="s">
        <v>2622</v>
      </c>
      <c r="H135" s="364" t="s">
        <v>2623</v>
      </c>
      <c r="I135" s="115" t="s">
        <v>18</v>
      </c>
      <c r="J135" s="115" t="s">
        <v>1023</v>
      </c>
      <c r="K135" s="115"/>
      <c r="L135" s="124" t="s">
        <v>2624</v>
      </c>
      <c r="M135" s="115"/>
      <c r="N135" s="128" t="s">
        <v>2625</v>
      </c>
      <c r="O135" s="1027">
        <f>1990*2</f>
        <v>3980</v>
      </c>
      <c r="P135" s="115"/>
      <c r="Q135" s="115" t="s">
        <v>2627</v>
      </c>
      <c r="R135" s="682">
        <v>2</v>
      </c>
      <c r="S135" s="361">
        <v>4</v>
      </c>
      <c r="T135" s="361">
        <v>1</v>
      </c>
      <c r="U135" s="119">
        <v>995</v>
      </c>
      <c r="V135" s="120">
        <v>44025</v>
      </c>
      <c r="W135" s="115" t="s">
        <v>1769</v>
      </c>
      <c r="X135" s="115" t="s">
        <v>1154</v>
      </c>
      <c r="Y135" s="115"/>
      <c r="Z135" s="115"/>
      <c r="AB135" s="50" t="s">
        <v>1339</v>
      </c>
    </row>
    <row r="136" spans="1:28" s="21" customFormat="1" ht="12" customHeight="1">
      <c r="A136" s="505" t="s">
        <v>3220</v>
      </c>
      <c r="B136" s="115" t="s">
        <v>3221</v>
      </c>
      <c r="C136" s="116">
        <v>45017</v>
      </c>
      <c r="D136" s="116">
        <v>45024</v>
      </c>
      <c r="E136" s="364" t="s">
        <v>3222</v>
      </c>
      <c r="F136" s="115"/>
      <c r="G136" s="361" t="s">
        <v>3223</v>
      </c>
      <c r="H136" s="115" t="s">
        <v>720</v>
      </c>
      <c r="I136" s="115" t="s">
        <v>18</v>
      </c>
      <c r="J136" s="115" t="s">
        <v>51</v>
      </c>
      <c r="K136" s="115" t="s">
        <v>3225</v>
      </c>
      <c r="L136" s="115" t="s">
        <v>3224</v>
      </c>
      <c r="M136" s="115"/>
      <c r="N136" s="121" t="s">
        <v>3226</v>
      </c>
      <c r="O136" s="118">
        <v>1190</v>
      </c>
      <c r="P136" s="115"/>
      <c r="Q136" s="115" t="s">
        <v>3329</v>
      </c>
      <c r="R136" s="361">
        <v>1</v>
      </c>
      <c r="S136" s="361">
        <v>2</v>
      </c>
      <c r="T136" s="361">
        <v>2</v>
      </c>
      <c r="U136" s="119">
        <v>297.5</v>
      </c>
      <c r="V136" s="120">
        <v>44837</v>
      </c>
      <c r="W136" s="115" t="s">
        <v>3336</v>
      </c>
      <c r="X136" s="115" t="s">
        <v>1154</v>
      </c>
      <c r="Y136" s="115" t="s">
        <v>3346</v>
      </c>
      <c r="Z136" s="115"/>
      <c r="AB136" s="128" t="s">
        <v>2516</v>
      </c>
    </row>
    <row r="137" spans="1:28" s="21" customFormat="1" ht="12" customHeight="1">
      <c r="A137" s="10" t="s">
        <v>287</v>
      </c>
      <c r="B137" s="8"/>
      <c r="C137" s="31">
        <v>38605</v>
      </c>
      <c r="D137" s="31">
        <v>38619</v>
      </c>
      <c r="E137" s="8" t="s">
        <v>288</v>
      </c>
      <c r="F137" s="8"/>
      <c r="G137" s="132">
        <v>73061</v>
      </c>
      <c r="H137" s="8" t="s">
        <v>289</v>
      </c>
      <c r="I137" s="8" t="s">
        <v>18</v>
      </c>
      <c r="J137" s="8" t="s">
        <v>51</v>
      </c>
      <c r="K137" s="8"/>
      <c r="L137" s="8"/>
      <c r="M137" s="8"/>
      <c r="N137" s="49" t="s">
        <v>286</v>
      </c>
      <c r="O137" s="1012">
        <v>900</v>
      </c>
      <c r="P137" s="8"/>
      <c r="Q137" s="8" t="s">
        <v>311</v>
      </c>
      <c r="R137" s="685">
        <v>2</v>
      </c>
      <c r="S137" s="132">
        <v>2</v>
      </c>
      <c r="T137" s="132">
        <v>1</v>
      </c>
      <c r="U137" s="13" t="s">
        <v>232</v>
      </c>
      <c r="V137" s="8"/>
      <c r="W137" s="8"/>
      <c r="X137" s="8"/>
      <c r="Y137" s="8"/>
      <c r="Z137" s="8"/>
      <c r="AB137" s="128" t="s">
        <v>1758</v>
      </c>
    </row>
    <row r="138" spans="1:28" s="21" customFormat="1" ht="12" customHeight="1">
      <c r="A138" s="20" t="s">
        <v>1330</v>
      </c>
      <c r="B138" s="21" t="s">
        <v>1331</v>
      </c>
      <c r="C138" s="30">
        <v>42001</v>
      </c>
      <c r="D138" s="30">
        <v>42022</v>
      </c>
      <c r="E138" s="21" t="s">
        <v>1332</v>
      </c>
      <c r="G138" s="764" t="s">
        <v>1333</v>
      </c>
      <c r="H138" s="21" t="s">
        <v>1334</v>
      </c>
      <c r="I138" s="21" t="s">
        <v>18</v>
      </c>
      <c r="J138" s="21" t="s">
        <v>51</v>
      </c>
      <c r="L138" s="21" t="s">
        <v>1335</v>
      </c>
      <c r="N138" s="50" t="s">
        <v>1339</v>
      </c>
      <c r="O138" s="1013">
        <f>2200-960</f>
        <v>1240</v>
      </c>
      <c r="Q138" s="21" t="s">
        <v>1337</v>
      </c>
      <c r="R138" s="876">
        <v>2</v>
      </c>
      <c r="S138" s="764">
        <v>2</v>
      </c>
      <c r="T138" s="764">
        <v>3</v>
      </c>
      <c r="U138" s="75"/>
      <c r="V138" s="78">
        <v>41962</v>
      </c>
      <c r="W138" s="21" t="s">
        <v>1338</v>
      </c>
      <c r="X138" s="21" t="s">
        <v>1217</v>
      </c>
      <c r="AB138" s="51" t="s">
        <v>376</v>
      </c>
    </row>
    <row r="139" spans="1:28" s="67" customFormat="1" ht="12" hidden="1" customHeight="1">
      <c r="A139" s="505" t="s">
        <v>2513</v>
      </c>
      <c r="B139" s="115" t="s">
        <v>2512</v>
      </c>
      <c r="C139" s="116">
        <v>44044</v>
      </c>
      <c r="D139" s="116">
        <v>44058</v>
      </c>
      <c r="E139" s="115" t="s">
        <v>2514</v>
      </c>
      <c r="F139" s="115"/>
      <c r="G139" s="361"/>
      <c r="H139" s="364"/>
      <c r="I139" s="115" t="s">
        <v>168</v>
      </c>
      <c r="J139" s="115" t="s">
        <v>51</v>
      </c>
      <c r="K139" s="115"/>
      <c r="L139" s="124" t="s">
        <v>2515</v>
      </c>
      <c r="M139" s="115"/>
      <c r="N139" s="128" t="s">
        <v>2516</v>
      </c>
      <c r="O139" s="1027">
        <f>1990*2</f>
        <v>3980</v>
      </c>
      <c r="P139" s="115"/>
      <c r="Q139" s="115" t="s">
        <v>2502</v>
      </c>
      <c r="R139" s="682">
        <v>2</v>
      </c>
      <c r="S139" s="361">
        <v>4</v>
      </c>
      <c r="T139" s="361">
        <v>1</v>
      </c>
      <c r="U139" s="119" t="s">
        <v>2528</v>
      </c>
      <c r="V139" s="120"/>
      <c r="W139" s="115" t="s">
        <v>1338</v>
      </c>
      <c r="X139" s="115" t="s">
        <v>1154</v>
      </c>
      <c r="Y139" s="115"/>
      <c r="Z139" s="115"/>
      <c r="AB139" s="128" t="s">
        <v>1758</v>
      </c>
    </row>
    <row r="140" spans="1:28" ht="12" customHeight="1">
      <c r="A140" s="832" t="s">
        <v>1596</v>
      </c>
      <c r="B140" s="832" t="s">
        <v>1597</v>
      </c>
      <c r="C140" s="833">
        <v>42609</v>
      </c>
      <c r="D140" s="833">
        <v>42616</v>
      </c>
      <c r="E140" s="832"/>
      <c r="F140" s="832"/>
      <c r="G140" s="834"/>
      <c r="H140" s="832"/>
      <c r="I140" s="832" t="s">
        <v>18</v>
      </c>
      <c r="J140" s="832" t="s">
        <v>51</v>
      </c>
      <c r="K140" s="832"/>
      <c r="L140" s="305" t="s">
        <v>1601</v>
      </c>
      <c r="M140" s="832"/>
      <c r="N140" s="128" t="s">
        <v>1758</v>
      </c>
      <c r="O140" s="1028">
        <f xml:space="preserve"> 1505/1.15</f>
        <v>1308.6956521739132</v>
      </c>
      <c r="P140" s="832"/>
      <c r="Q140" s="832" t="s">
        <v>1614</v>
      </c>
      <c r="R140" s="886">
        <v>1</v>
      </c>
      <c r="S140" s="834">
        <v>3</v>
      </c>
      <c r="T140" s="834">
        <v>1</v>
      </c>
      <c r="U140" s="1387"/>
      <c r="V140" s="837"/>
      <c r="W140" s="832" t="s">
        <v>1592</v>
      </c>
      <c r="X140" s="832"/>
      <c r="Y140" s="832"/>
      <c r="Z140" s="832"/>
      <c r="AB140" s="128" t="s">
        <v>352</v>
      </c>
    </row>
    <row r="141" spans="1:28" ht="12" customHeight="1" thickBot="1">
      <c r="A141" s="115" t="s">
        <v>1753</v>
      </c>
      <c r="B141" s="115" t="s">
        <v>297</v>
      </c>
      <c r="C141" s="116">
        <v>42973</v>
      </c>
      <c r="D141" s="116">
        <v>42980</v>
      </c>
      <c r="E141" s="115" t="s">
        <v>1754</v>
      </c>
      <c r="F141" s="115"/>
      <c r="G141" s="361" t="s">
        <v>1755</v>
      </c>
      <c r="H141" s="115" t="s">
        <v>1756</v>
      </c>
      <c r="I141" s="115" t="s">
        <v>884</v>
      </c>
      <c r="J141" s="115" t="s">
        <v>51</v>
      </c>
      <c r="K141" s="115"/>
      <c r="L141" s="115" t="s">
        <v>1757</v>
      </c>
      <c r="M141" s="115"/>
      <c r="N141" s="128" t="s">
        <v>1758</v>
      </c>
      <c r="O141" s="1027">
        <f>1590 +70</f>
        <v>1660</v>
      </c>
      <c r="P141" s="115"/>
      <c r="Q141" s="115" t="s">
        <v>1759</v>
      </c>
      <c r="R141" s="682">
        <v>1</v>
      </c>
      <c r="S141" s="361">
        <v>4</v>
      </c>
      <c r="T141" s="361">
        <v>0</v>
      </c>
      <c r="U141" s="598">
        <v>397.5</v>
      </c>
      <c r="V141" s="120">
        <v>42862</v>
      </c>
      <c r="W141" s="115" t="s">
        <v>1760</v>
      </c>
      <c r="X141" s="115" t="s">
        <v>1154</v>
      </c>
      <c r="Y141" s="115"/>
      <c r="Z141" s="115"/>
      <c r="AB141" s="1146" t="s">
        <v>3022</v>
      </c>
    </row>
    <row r="142" spans="1:28" ht="12" customHeight="1" thickBot="1">
      <c r="A142" s="38" t="s">
        <v>372</v>
      </c>
      <c r="B142" s="1269"/>
      <c r="C142" s="30">
        <v>39606</v>
      </c>
      <c r="D142" s="1306">
        <v>39613</v>
      </c>
      <c r="E142" s="1269" t="s">
        <v>373</v>
      </c>
      <c r="F142" s="21"/>
      <c r="G142" s="764" t="s">
        <v>374</v>
      </c>
      <c r="H142" s="21"/>
      <c r="I142" s="21" t="s">
        <v>18</v>
      </c>
      <c r="J142" s="21" t="s">
        <v>51</v>
      </c>
      <c r="K142" s="21"/>
      <c r="L142" s="21" t="s">
        <v>375</v>
      </c>
      <c r="M142" s="21"/>
      <c r="N142" s="51" t="s">
        <v>376</v>
      </c>
      <c r="O142" s="1013">
        <v>900</v>
      </c>
      <c r="P142" s="21"/>
      <c r="Q142" s="21"/>
      <c r="R142" s="876">
        <v>1</v>
      </c>
      <c r="S142" s="764">
        <v>2</v>
      </c>
      <c r="T142" s="764">
        <v>1</v>
      </c>
      <c r="U142" s="1364">
        <v>225</v>
      </c>
      <c r="V142" s="21"/>
      <c r="W142" s="21"/>
      <c r="X142" s="21"/>
      <c r="Y142" s="21"/>
      <c r="Z142" s="21"/>
      <c r="AB142" s="50" t="s">
        <v>764</v>
      </c>
    </row>
    <row r="143" spans="1:28" ht="12" customHeight="1" thickBot="1">
      <c r="A143" s="511" t="s">
        <v>1478</v>
      </c>
      <c r="B143" s="535" t="s">
        <v>528</v>
      </c>
      <c r="C143" s="548">
        <v>42497</v>
      </c>
      <c r="D143" s="561">
        <v>42510</v>
      </c>
      <c r="E143" s="543" t="s">
        <v>1479</v>
      </c>
      <c r="F143" s="115"/>
      <c r="G143" s="361" t="s">
        <v>1480</v>
      </c>
      <c r="H143" s="115" t="s">
        <v>1481</v>
      </c>
      <c r="I143" s="115" t="s">
        <v>168</v>
      </c>
      <c r="J143" s="115" t="s">
        <v>51</v>
      </c>
      <c r="K143" s="115" t="s">
        <v>1482</v>
      </c>
      <c r="L143" s="115" t="s">
        <v>1483</v>
      </c>
      <c r="M143" s="115"/>
      <c r="N143" s="128" t="s">
        <v>352</v>
      </c>
      <c r="O143" s="1027">
        <f>790+890+70+42</f>
        <v>1792</v>
      </c>
      <c r="P143" s="115"/>
      <c r="Q143" s="115"/>
      <c r="R143" s="682">
        <v>2</v>
      </c>
      <c r="S143" s="361" t="s">
        <v>1025</v>
      </c>
      <c r="T143" s="361">
        <v>1</v>
      </c>
      <c r="U143" s="598">
        <v>420</v>
      </c>
      <c r="V143" s="120"/>
      <c r="W143" s="115"/>
      <c r="X143" s="115"/>
      <c r="Y143" s="115"/>
      <c r="Z143" s="115"/>
      <c r="AB143" s="128" t="s">
        <v>1652</v>
      </c>
    </row>
    <row r="144" spans="1:28" ht="12" customHeight="1">
      <c r="A144" s="1136" t="s">
        <v>3016</v>
      </c>
      <c r="B144" s="1136" t="s">
        <v>682</v>
      </c>
      <c r="C144" s="1144">
        <v>44709</v>
      </c>
      <c r="D144" s="1315">
        <v>44723</v>
      </c>
      <c r="E144" s="1334" t="s">
        <v>3017</v>
      </c>
      <c r="F144" s="1136"/>
      <c r="G144" s="1139" t="s">
        <v>3018</v>
      </c>
      <c r="H144" s="1136" t="s">
        <v>3019</v>
      </c>
      <c r="I144" s="1136" t="s">
        <v>18</v>
      </c>
      <c r="J144" s="1136" t="s">
        <v>51</v>
      </c>
      <c r="K144" s="1145" t="s">
        <v>3021</v>
      </c>
      <c r="L144" s="1136" t="s">
        <v>3020</v>
      </c>
      <c r="M144" s="1136"/>
      <c r="N144" s="1146" t="s">
        <v>3022</v>
      </c>
      <c r="O144" s="1141">
        <f>1190+1390</f>
        <v>2580</v>
      </c>
      <c r="P144" s="1136"/>
      <c r="Q144" s="1136" t="s">
        <v>3023</v>
      </c>
      <c r="R144" s="1142">
        <v>2</v>
      </c>
      <c r="S144" s="1139">
        <v>6</v>
      </c>
      <c r="T144" s="1139">
        <v>3</v>
      </c>
      <c r="U144" s="1147">
        <v>645</v>
      </c>
      <c r="V144" s="1136">
        <v>44425</v>
      </c>
      <c r="W144" s="1136" t="s">
        <v>1477</v>
      </c>
      <c r="X144" s="1136" t="s">
        <v>1154</v>
      </c>
      <c r="Y144" s="1136"/>
      <c r="Z144" s="1136"/>
      <c r="AB144" s="50" t="s">
        <v>1274</v>
      </c>
    </row>
    <row r="145" spans="1:28" ht="12" hidden="1" customHeight="1" thickBot="1">
      <c r="A145" s="1256" t="s">
        <v>765</v>
      </c>
      <c r="B145" s="1282" t="s">
        <v>511</v>
      </c>
      <c r="C145" s="30">
        <v>40803</v>
      </c>
      <c r="D145" s="1310">
        <v>40817</v>
      </c>
      <c r="E145" s="1331"/>
      <c r="F145" s="21"/>
      <c r="G145" s="764"/>
      <c r="H145" s="21"/>
      <c r="I145" s="21" t="s">
        <v>18</v>
      </c>
      <c r="J145" s="21" t="s">
        <v>51</v>
      </c>
      <c r="K145" s="21"/>
      <c r="L145" s="21"/>
      <c r="M145" s="21"/>
      <c r="N145" s="50" t="s">
        <v>764</v>
      </c>
      <c r="O145" s="1013">
        <f>990+1090+70</f>
        <v>2150</v>
      </c>
      <c r="P145" s="21"/>
      <c r="Q145" s="21" t="s">
        <v>199</v>
      </c>
      <c r="R145" s="876">
        <v>2</v>
      </c>
      <c r="S145" s="764">
        <v>2</v>
      </c>
      <c r="T145" s="764">
        <v>0</v>
      </c>
      <c r="U145" s="1364">
        <f>O145/4</f>
        <v>537.5</v>
      </c>
      <c r="V145" s="21"/>
      <c r="W145" s="21"/>
      <c r="X145" s="21"/>
      <c r="Y145" s="21"/>
      <c r="Z145" s="21"/>
      <c r="AB145" s="365" t="s">
        <v>1652</v>
      </c>
    </row>
    <row r="146" spans="1:28" ht="12" customHeight="1" thickBot="1">
      <c r="A146" s="115" t="s">
        <v>1653</v>
      </c>
      <c r="B146" s="115" t="s">
        <v>264</v>
      </c>
      <c r="C146" s="116">
        <v>42826</v>
      </c>
      <c r="D146" s="561">
        <v>42833</v>
      </c>
      <c r="E146" s="543" t="s">
        <v>1654</v>
      </c>
      <c r="F146" s="115"/>
      <c r="G146" s="361" t="s">
        <v>1655</v>
      </c>
      <c r="H146" s="115" t="s">
        <v>937</v>
      </c>
      <c r="I146" s="115" t="s">
        <v>18</v>
      </c>
      <c r="J146" s="115" t="s">
        <v>51</v>
      </c>
      <c r="K146" s="115" t="s">
        <v>1656</v>
      </c>
      <c r="L146" s="115" t="s">
        <v>1657</v>
      </c>
      <c r="M146" s="115"/>
      <c r="N146" s="128" t="s">
        <v>1652</v>
      </c>
      <c r="O146" s="1027">
        <v>690</v>
      </c>
      <c r="P146" s="115"/>
      <c r="Q146" s="115"/>
      <c r="R146" s="682">
        <v>1</v>
      </c>
      <c r="S146" s="361">
        <v>2</v>
      </c>
      <c r="T146" s="361">
        <v>1</v>
      </c>
      <c r="U146" s="598">
        <v>177.25</v>
      </c>
      <c r="V146" s="120">
        <v>42712</v>
      </c>
      <c r="W146" s="115"/>
      <c r="X146" s="115"/>
      <c r="Y146" s="115"/>
      <c r="Z146" s="115"/>
      <c r="AB146" s="861" t="s">
        <v>1566</v>
      </c>
    </row>
    <row r="147" spans="1:28" ht="12" customHeight="1" thickBot="1">
      <c r="A147" s="720" t="s">
        <v>1653</v>
      </c>
      <c r="B147" s="731" t="s">
        <v>264</v>
      </c>
      <c r="C147" s="357">
        <v>43323</v>
      </c>
      <c r="D147" s="557">
        <v>43337</v>
      </c>
      <c r="E147" s="540" t="s">
        <v>1654</v>
      </c>
      <c r="F147" s="355"/>
      <c r="G147" s="358" t="s">
        <v>1655</v>
      </c>
      <c r="H147" s="355" t="s">
        <v>937</v>
      </c>
      <c r="I147" s="355" t="s">
        <v>18</v>
      </c>
      <c r="J147" s="355" t="s">
        <v>51</v>
      </c>
      <c r="K147" s="355" t="s">
        <v>1656</v>
      </c>
      <c r="L147" s="355" t="s">
        <v>1657</v>
      </c>
      <c r="M147" s="355"/>
      <c r="N147" s="365" t="s">
        <v>1652</v>
      </c>
      <c r="O147" s="1036">
        <f xml:space="preserve"> 1990+1790+70</f>
        <v>3850</v>
      </c>
      <c r="P147" s="355"/>
      <c r="Q147" s="355"/>
      <c r="R147" s="891">
        <v>2</v>
      </c>
      <c r="S147" s="358">
        <v>2</v>
      </c>
      <c r="T147" s="358">
        <v>1</v>
      </c>
      <c r="U147" s="478" t="s">
        <v>1832</v>
      </c>
      <c r="V147" s="360">
        <v>42712</v>
      </c>
      <c r="W147" s="355" t="s">
        <v>1519</v>
      </c>
      <c r="X147" s="355" t="s">
        <v>1154</v>
      </c>
      <c r="Y147" s="355"/>
      <c r="Z147" s="355"/>
      <c r="AB147" s="868" t="s">
        <v>2183</v>
      </c>
    </row>
    <row r="148" spans="1:28" ht="12" hidden="1" customHeight="1" thickBot="1">
      <c r="A148" s="56" t="s">
        <v>1269</v>
      </c>
      <c r="B148" s="1271" t="s">
        <v>264</v>
      </c>
      <c r="C148" s="30">
        <v>41916</v>
      </c>
      <c r="D148" s="1319">
        <v>41923</v>
      </c>
      <c r="E148" s="1271" t="s">
        <v>1270</v>
      </c>
      <c r="F148" s="21"/>
      <c r="G148" s="764">
        <v>5712</v>
      </c>
      <c r="H148" s="21" t="s">
        <v>1271</v>
      </c>
      <c r="I148" s="21" t="s">
        <v>168</v>
      </c>
      <c r="J148" s="21" t="s">
        <v>51</v>
      </c>
      <c r="K148" s="21" t="s">
        <v>1273</v>
      </c>
      <c r="L148" s="21" t="s">
        <v>1272</v>
      </c>
      <c r="M148" s="21"/>
      <c r="N148" s="50" t="s">
        <v>1274</v>
      </c>
      <c r="O148" s="1013">
        <f>890+70</f>
        <v>960</v>
      </c>
      <c r="P148" s="21"/>
      <c r="Q148" s="21" t="s">
        <v>1275</v>
      </c>
      <c r="R148" s="876">
        <v>1</v>
      </c>
      <c r="S148" s="764">
        <v>5</v>
      </c>
      <c r="T148" s="764">
        <v>0</v>
      </c>
      <c r="U148" s="1367">
        <v>960</v>
      </c>
      <c r="V148" s="78"/>
      <c r="W148" s="21"/>
      <c r="X148" s="21"/>
      <c r="Y148" s="21"/>
      <c r="Z148" s="21"/>
      <c r="AB148" s="861" t="s">
        <v>1566</v>
      </c>
    </row>
    <row r="149" spans="1:28" ht="12" customHeight="1">
      <c r="A149" s="838" t="s">
        <v>1492</v>
      </c>
      <c r="B149" s="838" t="s">
        <v>264</v>
      </c>
      <c r="C149" s="839">
        <v>42616</v>
      </c>
      <c r="D149" s="839">
        <v>42630</v>
      </c>
      <c r="E149" s="838" t="s">
        <v>1491</v>
      </c>
      <c r="F149" s="838"/>
      <c r="G149" s="840" t="s">
        <v>1493</v>
      </c>
      <c r="H149" s="838" t="s">
        <v>187</v>
      </c>
      <c r="I149" s="838" t="s">
        <v>18</v>
      </c>
      <c r="J149" s="838" t="s">
        <v>51</v>
      </c>
      <c r="K149" s="841" t="s">
        <v>1494</v>
      </c>
      <c r="L149" s="841" t="s">
        <v>1495</v>
      </c>
      <c r="M149" s="838"/>
      <c r="N149" s="861" t="s">
        <v>1566</v>
      </c>
      <c r="O149" s="1029" t="s">
        <v>1566</v>
      </c>
      <c r="P149" s="838"/>
      <c r="Q149" s="838" t="s">
        <v>1666</v>
      </c>
      <c r="R149" s="887">
        <v>0</v>
      </c>
      <c r="S149" s="840" t="s">
        <v>1496</v>
      </c>
      <c r="T149" s="840">
        <v>2</v>
      </c>
      <c r="U149" s="1376">
        <v>645</v>
      </c>
      <c r="V149" s="844">
        <v>42346</v>
      </c>
      <c r="W149" s="838" t="s">
        <v>1477</v>
      </c>
      <c r="X149" s="838" t="s">
        <v>1154</v>
      </c>
      <c r="Y149" s="838"/>
      <c r="Z149" s="838"/>
      <c r="AB149" s="982" t="s">
        <v>2936</v>
      </c>
    </row>
    <row r="150" spans="1:28" ht="12" customHeight="1">
      <c r="A150" s="838" t="s">
        <v>1492</v>
      </c>
      <c r="B150" s="838" t="s">
        <v>264</v>
      </c>
      <c r="C150" s="839">
        <v>42980</v>
      </c>
      <c r="D150" s="839">
        <v>42994</v>
      </c>
      <c r="E150" s="838" t="s">
        <v>1491</v>
      </c>
      <c r="F150" s="838"/>
      <c r="G150" s="840" t="s">
        <v>1493</v>
      </c>
      <c r="H150" s="838" t="s">
        <v>187</v>
      </c>
      <c r="I150" s="838" t="s">
        <v>18</v>
      </c>
      <c r="J150" s="838" t="s">
        <v>51</v>
      </c>
      <c r="K150" s="838" t="s">
        <v>1494</v>
      </c>
      <c r="L150" s="838" t="s">
        <v>1495</v>
      </c>
      <c r="M150" s="838"/>
      <c r="N150" s="861" t="s">
        <v>1566</v>
      </c>
      <c r="O150" s="1034"/>
      <c r="P150" s="838"/>
      <c r="Q150" s="842">
        <f>U150*4</f>
        <v>2580</v>
      </c>
      <c r="R150" s="887">
        <v>0</v>
      </c>
      <c r="S150" s="840" t="s">
        <v>1496</v>
      </c>
      <c r="T150" s="840">
        <v>2</v>
      </c>
      <c r="U150" s="1376">
        <v>645</v>
      </c>
      <c r="V150" s="838">
        <v>42346</v>
      </c>
      <c r="W150" s="838" t="s">
        <v>1477</v>
      </c>
      <c r="X150" s="838" t="s">
        <v>1154</v>
      </c>
      <c r="Y150" s="838"/>
      <c r="Z150" s="838"/>
      <c r="AB150" s="1073" t="s">
        <v>3138</v>
      </c>
    </row>
    <row r="151" spans="1:28" ht="12" customHeight="1">
      <c r="A151" s="498" t="s">
        <v>2179</v>
      </c>
      <c r="B151" s="498" t="s">
        <v>2180</v>
      </c>
      <c r="C151" s="499">
        <v>43736</v>
      </c>
      <c r="D151" s="499">
        <v>43743</v>
      </c>
      <c r="E151" s="498" t="s">
        <v>2181</v>
      </c>
      <c r="F151" s="498"/>
      <c r="G151" s="500" t="s">
        <v>1992</v>
      </c>
      <c r="H151" s="498"/>
      <c r="I151" s="498" t="s">
        <v>18</v>
      </c>
      <c r="J151" s="498" t="s">
        <v>1023</v>
      </c>
      <c r="K151" s="498"/>
      <c r="L151" s="498" t="s">
        <v>2182</v>
      </c>
      <c r="M151" s="498"/>
      <c r="N151" s="868" t="s">
        <v>2183</v>
      </c>
      <c r="O151" s="1040">
        <f>990+42</f>
        <v>1032</v>
      </c>
      <c r="P151" s="498"/>
      <c r="Q151" s="498" t="s">
        <v>2372</v>
      </c>
      <c r="R151" s="894">
        <v>1</v>
      </c>
      <c r="S151" s="500">
        <v>2</v>
      </c>
      <c r="T151" s="500">
        <v>2</v>
      </c>
      <c r="U151" s="670" t="s">
        <v>2354</v>
      </c>
      <c r="V151" s="504">
        <v>43461</v>
      </c>
      <c r="W151" s="498"/>
      <c r="X151" s="498"/>
      <c r="Y151" s="498"/>
      <c r="Z151" s="498"/>
      <c r="AB151" s="128" t="s">
        <v>2022</v>
      </c>
    </row>
    <row r="152" spans="1:28" s="21" customFormat="1" ht="12" customHeight="1">
      <c r="A152" s="498" t="s">
        <v>2185</v>
      </c>
      <c r="B152" s="498" t="s">
        <v>2934</v>
      </c>
      <c r="C152" s="499">
        <v>7</v>
      </c>
      <c r="D152" s="499">
        <v>44387</v>
      </c>
      <c r="E152" s="498"/>
      <c r="F152" s="498"/>
      <c r="G152" s="500"/>
      <c r="H152" s="980"/>
      <c r="I152" s="498" t="s">
        <v>18</v>
      </c>
      <c r="J152" s="498" t="s">
        <v>51</v>
      </c>
      <c r="K152" s="498"/>
      <c r="L152" s="498" t="s">
        <v>2935</v>
      </c>
      <c r="M152" s="498"/>
      <c r="N152" s="982" t="s">
        <v>2936</v>
      </c>
      <c r="O152" s="1040">
        <v>0</v>
      </c>
      <c r="P152" s="498"/>
      <c r="Q152" s="498" t="s">
        <v>2942</v>
      </c>
      <c r="R152" s="894">
        <v>0</v>
      </c>
      <c r="S152" s="500">
        <v>4</v>
      </c>
      <c r="T152" s="500">
        <v>0</v>
      </c>
      <c r="U152" s="503"/>
      <c r="V152" s="504">
        <v>44319</v>
      </c>
      <c r="W152" s="498" t="s">
        <v>2891</v>
      </c>
      <c r="X152" s="498"/>
      <c r="Y152" s="498"/>
      <c r="Z152" s="498"/>
      <c r="AB152" s="50" t="s">
        <v>1256</v>
      </c>
    </row>
    <row r="153" spans="1:28" s="21" customFormat="1" ht="12" customHeight="1">
      <c r="A153" s="1255" t="s">
        <v>3140</v>
      </c>
      <c r="B153" s="1069" t="s">
        <v>3139</v>
      </c>
      <c r="C153" s="1070">
        <v>44599</v>
      </c>
      <c r="D153" s="1070">
        <v>44606</v>
      </c>
      <c r="E153" s="1069" t="s">
        <v>3142</v>
      </c>
      <c r="F153" s="1069"/>
      <c r="G153" s="1071" t="s">
        <v>3143</v>
      </c>
      <c r="H153" s="1069" t="s">
        <v>3144</v>
      </c>
      <c r="I153" s="1069" t="s">
        <v>18</v>
      </c>
      <c r="J153" s="1069" t="s">
        <v>51</v>
      </c>
      <c r="K153" s="1072"/>
      <c r="L153" s="1069" t="s">
        <v>3141</v>
      </c>
      <c r="M153" s="1069"/>
      <c r="N153" s="1073" t="s">
        <v>3138</v>
      </c>
      <c r="O153" s="1074">
        <f>890+21</f>
        <v>911</v>
      </c>
      <c r="P153" s="1069"/>
      <c r="Q153" s="1069" t="s">
        <v>2674</v>
      </c>
      <c r="R153" s="1075">
        <v>1</v>
      </c>
      <c r="S153" s="1071">
        <v>2</v>
      </c>
      <c r="T153" s="1071">
        <v>1</v>
      </c>
      <c r="U153" s="1076">
        <v>0</v>
      </c>
      <c r="V153" s="1069">
        <v>44592</v>
      </c>
      <c r="W153" s="1069" t="s">
        <v>1338</v>
      </c>
      <c r="X153" s="1069" t="s">
        <v>1154</v>
      </c>
      <c r="Y153" s="1069"/>
      <c r="Z153" s="1069"/>
      <c r="AB153" s="128" t="s">
        <v>2703</v>
      </c>
    </row>
    <row r="154" spans="1:28" s="67" customFormat="1" ht="12" customHeight="1">
      <c r="A154" s="115" t="s">
        <v>2016</v>
      </c>
      <c r="B154" s="115" t="s">
        <v>2017</v>
      </c>
      <c r="C154" s="116">
        <v>43715</v>
      </c>
      <c r="D154" s="116">
        <v>43729</v>
      </c>
      <c r="E154" s="115" t="s">
        <v>2018</v>
      </c>
      <c r="F154" s="115"/>
      <c r="G154" s="361" t="s">
        <v>2019</v>
      </c>
      <c r="H154" s="115" t="s">
        <v>2020</v>
      </c>
      <c r="I154" s="115" t="s">
        <v>18</v>
      </c>
      <c r="J154" s="115" t="s">
        <v>1023</v>
      </c>
      <c r="K154" s="115"/>
      <c r="L154" s="115" t="s">
        <v>2021</v>
      </c>
      <c r="M154" s="115"/>
      <c r="N154" s="128" t="s">
        <v>2022</v>
      </c>
      <c r="O154" s="1027">
        <f>1290+1390</f>
        <v>2680</v>
      </c>
      <c r="P154" s="115"/>
      <c r="Q154" s="115" t="s">
        <v>2023</v>
      </c>
      <c r="R154" s="682">
        <v>2</v>
      </c>
      <c r="S154" s="361">
        <v>2</v>
      </c>
      <c r="T154" s="361">
        <v>2</v>
      </c>
      <c r="U154" s="119" t="s">
        <v>2024</v>
      </c>
      <c r="V154" s="120">
        <v>43410</v>
      </c>
      <c r="W154" s="115"/>
      <c r="X154" s="115"/>
      <c r="Y154" s="115"/>
      <c r="Z154" s="115"/>
      <c r="AB154" s="50" t="s">
        <v>1191</v>
      </c>
    </row>
    <row r="155" spans="1:28" s="21" customFormat="1" ht="12" customHeight="1">
      <c r="A155" s="21" t="s">
        <v>555</v>
      </c>
      <c r="B155" s="21" t="s">
        <v>1251</v>
      </c>
      <c r="C155" s="30">
        <v>41797</v>
      </c>
      <c r="D155" s="30">
        <v>41811</v>
      </c>
      <c r="E155" s="21" t="s">
        <v>1252</v>
      </c>
      <c r="G155" s="764" t="s">
        <v>1253</v>
      </c>
      <c r="H155" s="21" t="s">
        <v>1254</v>
      </c>
      <c r="I155" s="21" t="s">
        <v>18</v>
      </c>
      <c r="J155" s="21" t="s">
        <v>51</v>
      </c>
      <c r="L155" s="21" t="s">
        <v>1255</v>
      </c>
      <c r="N155" s="50" t="s">
        <v>1256</v>
      </c>
      <c r="O155" s="1013">
        <f>1090+1190+70</f>
        <v>2350</v>
      </c>
      <c r="R155" s="876">
        <v>2</v>
      </c>
      <c r="S155" s="764" t="s">
        <v>1258</v>
      </c>
      <c r="T155" s="764" t="s">
        <v>1257</v>
      </c>
      <c r="U155" s="75">
        <v>570</v>
      </c>
      <c r="V155" s="78">
        <v>41701</v>
      </c>
      <c r="W155" s="21" t="s">
        <v>791</v>
      </c>
      <c r="AB155" s="128" t="s">
        <v>1751</v>
      </c>
    </row>
    <row r="156" spans="1:28" s="21" customFormat="1" ht="12" customHeight="1">
      <c r="A156" s="115" t="s">
        <v>2696</v>
      </c>
      <c r="B156" s="115" t="s">
        <v>2697</v>
      </c>
      <c r="C156" s="116">
        <v>44086</v>
      </c>
      <c r="D156" s="116">
        <v>44093</v>
      </c>
      <c r="E156" s="115" t="s">
        <v>2698</v>
      </c>
      <c r="F156" s="115"/>
      <c r="G156" s="361" t="s">
        <v>2699</v>
      </c>
      <c r="H156" s="115" t="s">
        <v>2700</v>
      </c>
      <c r="I156" s="115" t="s">
        <v>168</v>
      </c>
      <c r="J156" s="115" t="s">
        <v>51</v>
      </c>
      <c r="K156" s="115" t="s">
        <v>2701</v>
      </c>
      <c r="L156" s="115" t="s">
        <v>2702</v>
      </c>
      <c r="M156" s="115"/>
      <c r="N156" s="128" t="s">
        <v>2703</v>
      </c>
      <c r="O156" s="1027">
        <v>1270</v>
      </c>
      <c r="P156" s="115"/>
      <c r="Q156" s="921" t="s">
        <v>199</v>
      </c>
      <c r="R156" s="682">
        <v>1</v>
      </c>
      <c r="S156" s="361">
        <v>2</v>
      </c>
      <c r="T156" s="361">
        <v>0</v>
      </c>
      <c r="U156" s="119">
        <v>0</v>
      </c>
      <c r="V156" s="115">
        <v>44085</v>
      </c>
      <c r="W156" s="120" t="s">
        <v>2704</v>
      </c>
      <c r="X156" s="115" t="s">
        <v>1217</v>
      </c>
      <c r="Y156" s="115"/>
      <c r="Z156" s="115"/>
      <c r="AB156" s="50" t="s">
        <v>620</v>
      </c>
    </row>
    <row r="157" spans="1:28" s="21" customFormat="1" ht="12" hidden="1" customHeight="1">
      <c r="A157" s="21" t="s">
        <v>1186</v>
      </c>
      <c r="B157" s="21" t="s">
        <v>1187</v>
      </c>
      <c r="C157" s="30">
        <v>41783</v>
      </c>
      <c r="D157" s="30">
        <v>41797</v>
      </c>
      <c r="E157" s="21" t="s">
        <v>1188</v>
      </c>
      <c r="G157" s="764"/>
      <c r="I157" s="21" t="s">
        <v>18</v>
      </c>
      <c r="J157" s="21" t="s">
        <v>51</v>
      </c>
      <c r="K157" s="21" t="s">
        <v>1189</v>
      </c>
      <c r="L157" s="21" t="s">
        <v>1190</v>
      </c>
      <c r="N157" s="50" t="s">
        <v>1191</v>
      </c>
      <c r="O157" s="1013">
        <f>890+990+70</f>
        <v>1950</v>
      </c>
      <c r="Q157" s="21" t="s">
        <v>1192</v>
      </c>
      <c r="R157" s="876">
        <v>2</v>
      </c>
      <c r="S157" s="764" t="s">
        <v>717</v>
      </c>
      <c r="T157" s="764">
        <v>2</v>
      </c>
      <c r="U157" s="75">
        <f>1880/4</f>
        <v>470</v>
      </c>
      <c r="V157" s="78">
        <v>41601</v>
      </c>
      <c r="W157" s="21" t="s">
        <v>791</v>
      </c>
      <c r="X157" s="21" t="s">
        <v>1154</v>
      </c>
      <c r="AB157" s="128" t="s">
        <v>1751</v>
      </c>
    </row>
    <row r="158" spans="1:28" s="21" customFormat="1" ht="12" customHeight="1">
      <c r="A158" s="829" t="s">
        <v>1497</v>
      </c>
      <c r="B158" s="115" t="s">
        <v>1498</v>
      </c>
      <c r="C158" s="116">
        <v>42546</v>
      </c>
      <c r="D158" s="116">
        <v>42560</v>
      </c>
      <c r="E158" s="115" t="s">
        <v>1520</v>
      </c>
      <c r="F158" s="115"/>
      <c r="G158" s="361" t="s">
        <v>1521</v>
      </c>
      <c r="H158" s="115" t="s">
        <v>1522</v>
      </c>
      <c r="I158" s="115" t="s">
        <v>18</v>
      </c>
      <c r="J158" s="115" t="s">
        <v>51</v>
      </c>
      <c r="K158" s="115" t="s">
        <v>1523</v>
      </c>
      <c r="L158" s="115" t="s">
        <v>1524</v>
      </c>
      <c r="M158" s="115"/>
      <c r="N158" s="128" t="s">
        <v>1751</v>
      </c>
      <c r="O158" s="1027">
        <f>1390+1790</f>
        <v>3180</v>
      </c>
      <c r="P158" s="115"/>
      <c r="Q158" s="115"/>
      <c r="R158" s="682">
        <v>2</v>
      </c>
      <c r="S158" s="361" t="s">
        <v>1500</v>
      </c>
      <c r="T158" s="361">
        <v>1</v>
      </c>
      <c r="U158" s="119">
        <f>O158/4</f>
        <v>795</v>
      </c>
      <c r="V158" s="120"/>
      <c r="W158" s="115"/>
      <c r="X158" s="115"/>
      <c r="Y158" s="115"/>
      <c r="Z158" s="115"/>
      <c r="AB158" s="365" t="s">
        <v>1872</v>
      </c>
    </row>
    <row r="159" spans="1:28" s="21" customFormat="1" ht="12" customHeight="1">
      <c r="A159" s="115" t="s">
        <v>1745</v>
      </c>
      <c r="B159" s="115" t="s">
        <v>1746</v>
      </c>
      <c r="C159" s="116">
        <v>42917</v>
      </c>
      <c r="D159" s="116">
        <v>42924</v>
      </c>
      <c r="E159" s="115" t="s">
        <v>1747</v>
      </c>
      <c r="F159" s="115"/>
      <c r="G159" s="361" t="s">
        <v>1748</v>
      </c>
      <c r="H159" s="115" t="s">
        <v>1749</v>
      </c>
      <c r="I159" s="115" t="s">
        <v>18</v>
      </c>
      <c r="J159" s="115" t="s">
        <v>1023</v>
      </c>
      <c r="K159" s="115" t="s">
        <v>1770</v>
      </c>
      <c r="L159" s="115" t="s">
        <v>1750</v>
      </c>
      <c r="M159" s="115"/>
      <c r="N159" s="128" t="s">
        <v>1751</v>
      </c>
      <c r="O159" s="1027">
        <v>1180</v>
      </c>
      <c r="P159" s="115"/>
      <c r="Q159" s="115" t="s">
        <v>1752</v>
      </c>
      <c r="R159" s="682">
        <v>1</v>
      </c>
      <c r="S159" s="361"/>
      <c r="T159" s="361">
        <v>1</v>
      </c>
      <c r="U159" s="119">
        <f>O159/4</f>
        <v>295</v>
      </c>
      <c r="V159" s="120"/>
      <c r="W159" s="115" t="s">
        <v>1651</v>
      </c>
      <c r="X159" s="115" t="s">
        <v>1217</v>
      </c>
      <c r="Y159" s="115"/>
      <c r="Z159" s="115"/>
      <c r="AB159" s="128" t="s">
        <v>2955</v>
      </c>
    </row>
    <row r="160" spans="1:28" s="21" customFormat="1" ht="12" customHeight="1">
      <c r="A160" s="21" t="s">
        <v>581</v>
      </c>
      <c r="B160" s="21" t="s">
        <v>582</v>
      </c>
      <c r="C160" s="30">
        <v>40404</v>
      </c>
      <c r="D160" s="30">
        <v>40418</v>
      </c>
      <c r="G160" s="764"/>
      <c r="I160" s="21" t="s">
        <v>18</v>
      </c>
      <c r="J160" s="21" t="s">
        <v>51</v>
      </c>
      <c r="K160" s="21" t="s">
        <v>583</v>
      </c>
      <c r="N160" s="50" t="s">
        <v>620</v>
      </c>
      <c r="O160" s="1013">
        <v>3044</v>
      </c>
      <c r="Q160" s="21" t="s">
        <v>584</v>
      </c>
      <c r="R160" s="876">
        <v>2</v>
      </c>
      <c r="S160" s="764">
        <v>4</v>
      </c>
      <c r="T160" s="764">
        <v>2</v>
      </c>
      <c r="U160" s="46">
        <f>O160/4</f>
        <v>761</v>
      </c>
      <c r="AB160" s="128" t="s">
        <v>1974</v>
      </c>
    </row>
    <row r="161" spans="1:28" s="21" customFormat="1" ht="12" customHeight="1">
      <c r="A161" s="355" t="s">
        <v>1866</v>
      </c>
      <c r="B161" s="355" t="s">
        <v>1867</v>
      </c>
      <c r="C161" s="357">
        <v>43358</v>
      </c>
      <c r="D161" s="357">
        <v>43372</v>
      </c>
      <c r="E161" s="355" t="s">
        <v>1868</v>
      </c>
      <c r="F161" s="355"/>
      <c r="G161" s="358" t="s">
        <v>1869</v>
      </c>
      <c r="H161" s="367" t="s">
        <v>1870</v>
      </c>
      <c r="I161" s="355" t="s">
        <v>18</v>
      </c>
      <c r="J161" s="355" t="s">
        <v>51</v>
      </c>
      <c r="K161" s="368"/>
      <c r="L161" s="368" t="s">
        <v>1871</v>
      </c>
      <c r="M161" s="355"/>
      <c r="N161" s="365" t="s">
        <v>1872</v>
      </c>
      <c r="O161" s="1036">
        <f>1090+1190+70+42</f>
        <v>2392</v>
      </c>
      <c r="P161" s="355"/>
      <c r="Q161" s="355" t="s">
        <v>1873</v>
      </c>
      <c r="R161" s="891">
        <v>2</v>
      </c>
      <c r="S161" s="358">
        <v>2</v>
      </c>
      <c r="T161" s="358">
        <v>1</v>
      </c>
      <c r="U161" s="356" t="s">
        <v>1832</v>
      </c>
      <c r="V161" s="360">
        <v>43074</v>
      </c>
      <c r="W161" s="355" t="s">
        <v>1477</v>
      </c>
      <c r="X161" s="355" t="s">
        <v>1154</v>
      </c>
      <c r="Y161" s="355"/>
      <c r="Z161" s="355"/>
      <c r="AB161" s="874" t="s">
        <v>2249</v>
      </c>
    </row>
    <row r="162" spans="1:28" s="21" customFormat="1" ht="12" customHeight="1">
      <c r="A162" s="115" t="s">
        <v>2950</v>
      </c>
      <c r="B162" s="115" t="s">
        <v>1938</v>
      </c>
      <c r="C162" s="116">
        <v>44373</v>
      </c>
      <c r="D162" s="116">
        <v>44387</v>
      </c>
      <c r="E162" s="115" t="s">
        <v>2951</v>
      </c>
      <c r="F162" s="115"/>
      <c r="G162" s="361" t="s">
        <v>2952</v>
      </c>
      <c r="H162" s="115" t="s">
        <v>2953</v>
      </c>
      <c r="I162" s="115" t="s">
        <v>18</v>
      </c>
      <c r="J162" s="115" t="s">
        <v>51</v>
      </c>
      <c r="K162" s="115"/>
      <c r="L162" s="115" t="s">
        <v>2954</v>
      </c>
      <c r="M162" s="115"/>
      <c r="N162" s="128" t="s">
        <v>2955</v>
      </c>
      <c r="O162" s="1027">
        <v>2200</v>
      </c>
      <c r="P162" s="115"/>
      <c r="Q162" s="115" t="s">
        <v>2956</v>
      </c>
      <c r="R162" s="682">
        <v>2</v>
      </c>
      <c r="S162" s="361">
        <v>2</v>
      </c>
      <c r="T162" s="361">
        <v>2</v>
      </c>
      <c r="U162" s="119"/>
      <c r="V162" s="120">
        <v>44366</v>
      </c>
      <c r="W162" s="115" t="s">
        <v>1769</v>
      </c>
      <c r="X162" s="115" t="s">
        <v>1217</v>
      </c>
      <c r="Y162" s="115"/>
      <c r="Z162" s="115"/>
      <c r="AB162" s="50" t="s">
        <v>1243</v>
      </c>
    </row>
    <row r="163" spans="1:28" s="67" customFormat="1" ht="12" hidden="1" customHeight="1">
      <c r="A163" s="115" t="s">
        <v>1973</v>
      </c>
      <c r="B163" s="115" t="s">
        <v>1972</v>
      </c>
      <c r="C163" s="116">
        <v>43673</v>
      </c>
      <c r="D163" s="116">
        <v>43694</v>
      </c>
      <c r="E163" s="115" t="s">
        <v>1975</v>
      </c>
      <c r="F163" s="115"/>
      <c r="G163" s="361" t="s">
        <v>1976</v>
      </c>
      <c r="H163" s="115" t="s">
        <v>1977</v>
      </c>
      <c r="I163" s="115" t="s">
        <v>168</v>
      </c>
      <c r="J163" s="115" t="s">
        <v>1023</v>
      </c>
      <c r="K163" s="115"/>
      <c r="L163" s="115" t="s">
        <v>1978</v>
      </c>
      <c r="M163" s="115"/>
      <c r="N163" s="128" t="s">
        <v>1974</v>
      </c>
      <c r="O163" s="1027">
        <f>1990*3+750+250</f>
        <v>6970</v>
      </c>
      <c r="P163" s="115"/>
      <c r="Q163" s="115" t="s">
        <v>2327</v>
      </c>
      <c r="R163" s="682">
        <v>3</v>
      </c>
      <c r="S163" s="361">
        <v>4</v>
      </c>
      <c r="T163" s="361">
        <v>2</v>
      </c>
      <c r="U163" s="119" t="s">
        <v>2027</v>
      </c>
      <c r="V163" s="120"/>
      <c r="W163" s="115"/>
      <c r="X163" s="115"/>
      <c r="Y163" s="115"/>
      <c r="Z163" s="115"/>
      <c r="AB163" s="967" t="s">
        <v>2249</v>
      </c>
    </row>
    <row r="164" spans="1:28" s="21" customFormat="1" ht="12" hidden="1" customHeight="1">
      <c r="A164" s="689" t="s">
        <v>2242</v>
      </c>
      <c r="B164" s="689" t="s">
        <v>2243</v>
      </c>
      <c r="C164" s="690">
        <v>43988</v>
      </c>
      <c r="D164" s="690">
        <v>44002</v>
      </c>
      <c r="E164" s="689" t="s">
        <v>2244</v>
      </c>
      <c r="F164" s="689"/>
      <c r="G164" s="691" t="s">
        <v>2245</v>
      </c>
      <c r="H164" s="692" t="s">
        <v>2246</v>
      </c>
      <c r="I164" s="689" t="s">
        <v>18</v>
      </c>
      <c r="J164" s="689" t="s">
        <v>51</v>
      </c>
      <c r="K164" s="693" t="s">
        <v>2247</v>
      </c>
      <c r="L164" s="689" t="s">
        <v>2248</v>
      </c>
      <c r="M164" s="689"/>
      <c r="N164" s="874" t="s">
        <v>2249</v>
      </c>
      <c r="O164" s="1041">
        <v>0</v>
      </c>
      <c r="P164" s="689"/>
      <c r="Q164" s="689" t="s">
        <v>2590</v>
      </c>
      <c r="R164" s="696"/>
      <c r="S164" s="691">
        <v>6</v>
      </c>
      <c r="T164" s="691">
        <v>2</v>
      </c>
      <c r="U164" s="753" t="s">
        <v>2261</v>
      </c>
      <c r="V164" s="695">
        <v>43545</v>
      </c>
      <c r="W164" s="689" t="s">
        <v>1769</v>
      </c>
      <c r="X164" s="689" t="s">
        <v>1154</v>
      </c>
      <c r="Y164" s="689" t="s">
        <v>2558</v>
      </c>
      <c r="Z164" s="689"/>
      <c r="AB164" s="850" t="s">
        <v>2249</v>
      </c>
    </row>
    <row r="165" spans="1:28" s="21" customFormat="1" ht="12" customHeight="1">
      <c r="A165" s="962" t="s">
        <v>2242</v>
      </c>
      <c r="B165" s="962" t="s">
        <v>2243</v>
      </c>
      <c r="C165" s="963">
        <v>44352</v>
      </c>
      <c r="D165" s="963">
        <v>44366</v>
      </c>
      <c r="E165" s="962" t="s">
        <v>2244</v>
      </c>
      <c r="F165" s="962"/>
      <c r="G165" s="964" t="s">
        <v>2245</v>
      </c>
      <c r="H165" s="965" t="s">
        <v>2246</v>
      </c>
      <c r="I165" s="962" t="s">
        <v>18</v>
      </c>
      <c r="J165" s="962" t="s">
        <v>51</v>
      </c>
      <c r="K165" s="966" t="s">
        <v>2247</v>
      </c>
      <c r="L165" s="962" t="s">
        <v>2248</v>
      </c>
      <c r="M165" s="962"/>
      <c r="N165" s="967" t="s">
        <v>2249</v>
      </c>
      <c r="O165" s="1047">
        <v>0</v>
      </c>
      <c r="P165" s="962"/>
      <c r="Q165" s="962" t="s">
        <v>2919</v>
      </c>
      <c r="R165" s="968">
        <v>0</v>
      </c>
      <c r="S165" s="964">
        <v>6</v>
      </c>
      <c r="T165" s="964">
        <v>2</v>
      </c>
      <c r="U165" s="1375" t="s">
        <v>2261</v>
      </c>
      <c r="V165" s="969">
        <v>43545</v>
      </c>
      <c r="W165" s="962" t="s">
        <v>1769</v>
      </c>
      <c r="X165" s="962" t="s">
        <v>1154</v>
      </c>
      <c r="Y165" s="962" t="s">
        <v>2558</v>
      </c>
      <c r="Z165" s="962"/>
      <c r="AB165" s="128" t="s">
        <v>3012</v>
      </c>
    </row>
    <row r="166" spans="1:28" s="21" customFormat="1" ht="12" customHeight="1">
      <c r="A166" s="408" t="s">
        <v>2242</v>
      </c>
      <c r="B166" s="408" t="s">
        <v>2243</v>
      </c>
      <c r="C166" s="409">
        <v>44723</v>
      </c>
      <c r="D166" s="409">
        <v>44737</v>
      </c>
      <c r="E166" s="408" t="s">
        <v>2244</v>
      </c>
      <c r="F166" s="408"/>
      <c r="G166" s="410" t="s">
        <v>2245</v>
      </c>
      <c r="H166" s="1011" t="s">
        <v>2246</v>
      </c>
      <c r="I166" s="408" t="s">
        <v>18</v>
      </c>
      <c r="J166" s="408" t="s">
        <v>51</v>
      </c>
      <c r="K166" s="412" t="s">
        <v>2247</v>
      </c>
      <c r="L166" s="408" t="s">
        <v>2248</v>
      </c>
      <c r="M166" s="408"/>
      <c r="N166" s="850" t="s">
        <v>2249</v>
      </c>
      <c r="O166" s="1031"/>
      <c r="P166" s="408"/>
      <c r="Q166" s="408" t="s">
        <v>2919</v>
      </c>
      <c r="R166" s="889">
        <v>0</v>
      </c>
      <c r="S166" s="410">
        <v>6</v>
      </c>
      <c r="T166" s="410">
        <v>2</v>
      </c>
      <c r="U166" s="596" t="s">
        <v>2261</v>
      </c>
      <c r="V166" s="416">
        <v>43545</v>
      </c>
      <c r="W166" s="408" t="s">
        <v>1769</v>
      </c>
      <c r="X166" s="408" t="s">
        <v>1154</v>
      </c>
      <c r="Y166" s="408" t="s">
        <v>3041</v>
      </c>
      <c r="Z166" s="408"/>
      <c r="AB166" s="128" t="s">
        <v>2665</v>
      </c>
    </row>
    <row r="167" spans="1:28" s="21" customFormat="1" ht="12" customHeight="1">
      <c r="A167" s="21" t="s">
        <v>1237</v>
      </c>
      <c r="B167" s="21" t="s">
        <v>693</v>
      </c>
      <c r="C167" s="30">
        <v>41811</v>
      </c>
      <c r="D167" s="30">
        <v>41818</v>
      </c>
      <c r="E167" s="21" t="s">
        <v>1238</v>
      </c>
      <c r="G167" s="764" t="s">
        <v>1239</v>
      </c>
      <c r="H167" s="21" t="s">
        <v>1240</v>
      </c>
      <c r="I167" s="21" t="s">
        <v>18</v>
      </c>
      <c r="J167" s="21" t="s">
        <v>51</v>
      </c>
      <c r="K167" s="21" t="s">
        <v>1241</v>
      </c>
      <c r="L167" s="21" t="s">
        <v>1242</v>
      </c>
      <c r="N167" s="50" t="s">
        <v>1243</v>
      </c>
      <c r="O167" s="1013">
        <f>1290+70+21</f>
        <v>1381</v>
      </c>
      <c r="Q167" s="21" t="s">
        <v>1244</v>
      </c>
      <c r="R167" s="876">
        <v>1</v>
      </c>
      <c r="S167" s="764" t="s">
        <v>1244</v>
      </c>
      <c r="T167" s="764">
        <v>1</v>
      </c>
      <c r="U167" s="75">
        <f>1290/4</f>
        <v>322.5</v>
      </c>
      <c r="V167" s="78">
        <v>41664</v>
      </c>
      <c r="W167" s="21" t="s">
        <v>791</v>
      </c>
      <c r="X167" s="21" t="s">
        <v>1154</v>
      </c>
      <c r="AB167" s="861" t="s">
        <v>2595</v>
      </c>
    </row>
    <row r="168" spans="1:28" s="21" customFormat="1" ht="12" customHeight="1">
      <c r="A168" s="505" t="s">
        <v>3006</v>
      </c>
      <c r="B168" s="115" t="s">
        <v>3007</v>
      </c>
      <c r="C168" s="116">
        <v>44492</v>
      </c>
      <c r="D168" s="116">
        <v>44505</v>
      </c>
      <c r="E168" s="115" t="s">
        <v>3008</v>
      </c>
      <c r="F168" s="115"/>
      <c r="G168" s="361" t="s">
        <v>3009</v>
      </c>
      <c r="H168" s="115" t="s">
        <v>3010</v>
      </c>
      <c r="I168" s="115" t="s">
        <v>18</v>
      </c>
      <c r="J168" s="115" t="s">
        <v>51</v>
      </c>
      <c r="K168" s="124"/>
      <c r="L168" s="115" t="s">
        <v>3011</v>
      </c>
      <c r="M168" s="115"/>
      <c r="N168" s="128" t="s">
        <v>3012</v>
      </c>
      <c r="O168" s="1027">
        <f>990*2</f>
        <v>1980</v>
      </c>
      <c r="P168" s="115"/>
      <c r="Q168" s="115" t="s">
        <v>2674</v>
      </c>
      <c r="R168" s="682">
        <v>2</v>
      </c>
      <c r="S168" s="361">
        <v>2</v>
      </c>
      <c r="T168" s="361">
        <v>1</v>
      </c>
      <c r="U168" s="918">
        <v>500</v>
      </c>
      <c r="V168" s="115">
        <v>44406</v>
      </c>
      <c r="W168" s="115" t="s">
        <v>1338</v>
      </c>
      <c r="X168" s="115" t="s">
        <v>1154</v>
      </c>
      <c r="Y168" s="115"/>
      <c r="Z168" s="115"/>
      <c r="AB168" s="50" t="s">
        <v>881</v>
      </c>
    </row>
    <row r="169" spans="1:28" ht="12" customHeight="1">
      <c r="A169" s="115" t="s">
        <v>2659</v>
      </c>
      <c r="B169" s="115" t="s">
        <v>2660</v>
      </c>
      <c r="C169" s="116">
        <v>44079</v>
      </c>
      <c r="D169" s="116">
        <v>44086</v>
      </c>
      <c r="E169" s="115" t="s">
        <v>2661</v>
      </c>
      <c r="F169" s="115"/>
      <c r="G169" s="361" t="s">
        <v>2663</v>
      </c>
      <c r="H169" s="364" t="s">
        <v>2662</v>
      </c>
      <c r="I169" s="115" t="s">
        <v>168</v>
      </c>
      <c r="J169" s="115" t="s">
        <v>51</v>
      </c>
      <c r="K169" s="115"/>
      <c r="L169" s="124" t="s">
        <v>2664</v>
      </c>
      <c r="M169" s="115"/>
      <c r="N169" s="128" t="s">
        <v>2665</v>
      </c>
      <c r="O169" s="1027">
        <f>1590+105</f>
        <v>1695</v>
      </c>
      <c r="P169" s="115"/>
      <c r="Q169" s="115" t="s">
        <v>2666</v>
      </c>
      <c r="R169" s="682">
        <v>1</v>
      </c>
      <c r="S169" s="361">
        <v>4</v>
      </c>
      <c r="T169" s="361">
        <v>5</v>
      </c>
      <c r="U169" s="119"/>
      <c r="V169" s="120"/>
      <c r="W169" s="115"/>
      <c r="X169" s="115"/>
      <c r="Y169" s="115"/>
      <c r="Z169" s="115"/>
      <c r="AB169" s="50" t="s">
        <v>1010</v>
      </c>
    </row>
    <row r="170" spans="1:28" ht="12" customHeight="1">
      <c r="A170" s="838" t="s">
        <v>2594</v>
      </c>
      <c r="B170" s="838" t="s">
        <v>2593</v>
      </c>
      <c r="C170" s="839">
        <v>44114</v>
      </c>
      <c r="D170" s="839">
        <v>44121</v>
      </c>
      <c r="E170" s="838" t="s">
        <v>2598</v>
      </c>
      <c r="F170" s="838"/>
      <c r="G170" s="840"/>
      <c r="H170" s="838"/>
      <c r="I170" s="838" t="s">
        <v>18</v>
      </c>
      <c r="J170" s="838" t="s">
        <v>51</v>
      </c>
      <c r="K170" s="838" t="s">
        <v>2596</v>
      </c>
      <c r="L170" s="838" t="s">
        <v>2597</v>
      </c>
      <c r="M170" s="838"/>
      <c r="N170" s="861" t="s">
        <v>2595</v>
      </c>
      <c r="O170" s="1029">
        <v>297.5</v>
      </c>
      <c r="P170" s="838"/>
      <c r="Q170" s="838" t="s">
        <v>2705</v>
      </c>
      <c r="R170" s="887"/>
      <c r="S170" s="840">
        <v>5</v>
      </c>
      <c r="T170" s="840">
        <v>2</v>
      </c>
      <c r="U170" s="843">
        <v>297.5</v>
      </c>
      <c r="V170" s="844">
        <v>44003</v>
      </c>
      <c r="W170" s="838" t="s">
        <v>1477</v>
      </c>
      <c r="X170" s="838" t="s">
        <v>1154</v>
      </c>
      <c r="Y170" s="838"/>
      <c r="Z170" s="838"/>
      <c r="AB170" s="128" t="s">
        <v>1791</v>
      </c>
    </row>
    <row r="171" spans="1:28" ht="12" customHeight="1">
      <c r="A171" s="21" t="s">
        <v>876</v>
      </c>
      <c r="B171" s="21" t="s">
        <v>875</v>
      </c>
      <c r="C171" s="30">
        <v>40992</v>
      </c>
      <c r="D171" s="30">
        <v>41008</v>
      </c>
      <c r="E171" s="21" t="s">
        <v>877</v>
      </c>
      <c r="F171" s="21"/>
      <c r="G171" s="764" t="s">
        <v>878</v>
      </c>
      <c r="H171" s="21" t="s">
        <v>879</v>
      </c>
      <c r="I171" s="21" t="s">
        <v>18</v>
      </c>
      <c r="J171" s="21" t="s">
        <v>51</v>
      </c>
      <c r="K171" s="21" t="s">
        <v>929</v>
      </c>
      <c r="L171" s="21" t="s">
        <v>880</v>
      </c>
      <c r="M171" s="21"/>
      <c r="N171" s="50" t="s">
        <v>881</v>
      </c>
      <c r="O171" s="1013">
        <f>690*2+200+70</f>
        <v>1650</v>
      </c>
      <c r="P171" s="21"/>
      <c r="Q171" s="21" t="s">
        <v>883</v>
      </c>
      <c r="R171" s="876">
        <v>2</v>
      </c>
      <c r="S171" s="764">
        <v>4</v>
      </c>
      <c r="T171" s="764"/>
      <c r="U171" s="75">
        <f>O171/4</f>
        <v>412.5</v>
      </c>
      <c r="V171" s="78">
        <v>40970</v>
      </c>
      <c r="W171" s="21"/>
      <c r="X171" s="21"/>
      <c r="Y171" s="21"/>
      <c r="Z171" s="21"/>
      <c r="AB171" s="874" t="s">
        <v>2633</v>
      </c>
    </row>
    <row r="172" spans="1:28" ht="12" hidden="1" customHeight="1">
      <c r="A172" s="21" t="s">
        <v>1006</v>
      </c>
      <c r="B172" s="21" t="s">
        <v>693</v>
      </c>
      <c r="C172" s="30">
        <v>41415</v>
      </c>
      <c r="D172" s="30">
        <v>41426</v>
      </c>
      <c r="E172" s="21" t="s">
        <v>1007</v>
      </c>
      <c r="F172" s="21"/>
      <c r="G172" s="764"/>
      <c r="H172" s="21"/>
      <c r="I172" s="21" t="s">
        <v>18</v>
      </c>
      <c r="J172" s="21" t="s">
        <v>51</v>
      </c>
      <c r="K172" s="21" t="s">
        <v>1008</v>
      </c>
      <c r="L172" s="21" t="s">
        <v>1009</v>
      </c>
      <c r="M172" s="21"/>
      <c r="N172" s="50" t="s">
        <v>1010</v>
      </c>
      <c r="O172" s="1013">
        <f>1680+70</f>
        <v>1750</v>
      </c>
      <c r="P172" s="21"/>
      <c r="Q172" s="21" t="s">
        <v>1011</v>
      </c>
      <c r="R172" s="876">
        <v>2</v>
      </c>
      <c r="S172" s="764" t="s">
        <v>1012</v>
      </c>
      <c r="T172" s="764">
        <v>0</v>
      </c>
      <c r="U172" s="75">
        <v>420</v>
      </c>
      <c r="V172" s="78">
        <v>41196</v>
      </c>
      <c r="W172" s="21" t="s">
        <v>1013</v>
      </c>
      <c r="X172" s="21"/>
      <c r="Y172" s="21"/>
      <c r="Z172" s="21"/>
      <c r="AB172" s="365" t="s">
        <v>1791</v>
      </c>
    </row>
    <row r="173" spans="1:28" ht="12" hidden="1" customHeight="1">
      <c r="A173" s="115" t="s">
        <v>527</v>
      </c>
      <c r="B173" s="115" t="s">
        <v>693</v>
      </c>
      <c r="C173" s="116">
        <v>43096</v>
      </c>
      <c r="D173" s="116">
        <v>42745</v>
      </c>
      <c r="E173" s="115" t="s">
        <v>1787</v>
      </c>
      <c r="F173" s="115"/>
      <c r="G173" s="361" t="s">
        <v>1788</v>
      </c>
      <c r="H173" s="115" t="s">
        <v>1789</v>
      </c>
      <c r="I173" s="115" t="s">
        <v>18</v>
      </c>
      <c r="J173" s="115" t="s">
        <v>51</v>
      </c>
      <c r="K173" s="115"/>
      <c r="L173" s="115" t="s">
        <v>1790</v>
      </c>
      <c r="M173" s="115"/>
      <c r="N173" s="128" t="s">
        <v>1791</v>
      </c>
      <c r="O173" s="1027">
        <f>1090*2+21*2</f>
        <v>2222</v>
      </c>
      <c r="P173" s="115"/>
      <c r="Q173" s="115" t="s">
        <v>1025</v>
      </c>
      <c r="R173" s="682">
        <v>2</v>
      </c>
      <c r="S173" s="361">
        <v>2</v>
      </c>
      <c r="T173" s="361">
        <v>1</v>
      </c>
      <c r="U173" s="119">
        <v>556</v>
      </c>
      <c r="V173" s="115"/>
      <c r="W173" s="115" t="s">
        <v>1769</v>
      </c>
      <c r="X173" s="115"/>
      <c r="Y173" s="115"/>
      <c r="Z173" s="115"/>
      <c r="AB173" s="365" t="s">
        <v>1791</v>
      </c>
    </row>
    <row r="174" spans="1:28" ht="12" hidden="1" customHeight="1">
      <c r="A174" s="355" t="s">
        <v>527</v>
      </c>
      <c r="B174" s="355" t="s">
        <v>693</v>
      </c>
      <c r="C174" s="357">
        <v>43460</v>
      </c>
      <c r="D174" s="357">
        <v>43474</v>
      </c>
      <c r="E174" s="355" t="s">
        <v>1787</v>
      </c>
      <c r="F174" s="355"/>
      <c r="G174" s="358" t="s">
        <v>1788</v>
      </c>
      <c r="H174" s="355" t="s">
        <v>1789</v>
      </c>
      <c r="I174" s="355" t="s">
        <v>18</v>
      </c>
      <c r="J174" s="355" t="s">
        <v>51</v>
      </c>
      <c r="K174" s="355"/>
      <c r="L174" s="355" t="s">
        <v>1790</v>
      </c>
      <c r="M174" s="355"/>
      <c r="N174" s="365" t="s">
        <v>1791</v>
      </c>
      <c r="O174" s="1036">
        <f>1090*2</f>
        <v>2180</v>
      </c>
      <c r="P174" s="355"/>
      <c r="Q174" s="355" t="s">
        <v>1025</v>
      </c>
      <c r="R174" s="891">
        <v>2</v>
      </c>
      <c r="S174" s="358">
        <v>2</v>
      </c>
      <c r="T174" s="358">
        <v>1</v>
      </c>
      <c r="U174" s="356" t="s">
        <v>1920</v>
      </c>
      <c r="V174" s="355">
        <v>43180</v>
      </c>
      <c r="W174" s="355" t="s">
        <v>1769</v>
      </c>
      <c r="X174" s="355" t="s">
        <v>1154</v>
      </c>
      <c r="Y174" s="355"/>
      <c r="Z174" s="355"/>
      <c r="AB174" s="850" t="s">
        <v>1791</v>
      </c>
    </row>
    <row r="175" spans="1:28" ht="12" hidden="1" customHeight="1">
      <c r="A175" s="509" t="s">
        <v>527</v>
      </c>
      <c r="B175" s="355" t="s">
        <v>693</v>
      </c>
      <c r="C175" s="357">
        <v>43824</v>
      </c>
      <c r="D175" s="357">
        <v>43475</v>
      </c>
      <c r="E175" s="355" t="s">
        <v>1787</v>
      </c>
      <c r="F175" s="355"/>
      <c r="G175" s="358" t="s">
        <v>1788</v>
      </c>
      <c r="H175" s="355" t="s">
        <v>1789</v>
      </c>
      <c r="I175" s="355" t="s">
        <v>18</v>
      </c>
      <c r="J175" s="355" t="s">
        <v>51</v>
      </c>
      <c r="K175" s="355"/>
      <c r="L175" s="355" t="s">
        <v>1790</v>
      </c>
      <c r="M175" s="355"/>
      <c r="N175" s="365" t="s">
        <v>1791</v>
      </c>
      <c r="O175" s="1036">
        <f>1190*2</f>
        <v>2380</v>
      </c>
      <c r="P175" s="355"/>
      <c r="Q175" s="355" t="s">
        <v>2252</v>
      </c>
      <c r="R175" s="891">
        <v>2</v>
      </c>
      <c r="S175" s="358">
        <v>2</v>
      </c>
      <c r="T175" s="358">
        <v>1</v>
      </c>
      <c r="U175" s="356" t="s">
        <v>2262</v>
      </c>
      <c r="V175" s="355">
        <v>43545</v>
      </c>
      <c r="W175" s="355" t="s">
        <v>1519</v>
      </c>
      <c r="X175" s="355" t="s">
        <v>1154</v>
      </c>
      <c r="Y175" s="355"/>
      <c r="Z175" s="355"/>
      <c r="AB175" s="365" t="s">
        <v>1791</v>
      </c>
    </row>
    <row r="176" spans="1:28" ht="12" customHeight="1">
      <c r="A176" s="408" t="s">
        <v>527</v>
      </c>
      <c r="B176" s="408" t="s">
        <v>693</v>
      </c>
      <c r="C176" s="409">
        <v>44555</v>
      </c>
      <c r="D176" s="409">
        <v>44569</v>
      </c>
      <c r="E176" s="408" t="s">
        <v>1787</v>
      </c>
      <c r="F176" s="408"/>
      <c r="G176" s="410" t="s">
        <v>1788</v>
      </c>
      <c r="H176" s="408" t="s">
        <v>1789</v>
      </c>
      <c r="I176" s="408" t="s">
        <v>18</v>
      </c>
      <c r="J176" s="408" t="s">
        <v>51</v>
      </c>
      <c r="K176" s="408"/>
      <c r="L176" s="408" t="s">
        <v>1790</v>
      </c>
      <c r="M176" s="408"/>
      <c r="N176" s="850" t="s">
        <v>1791</v>
      </c>
      <c r="O176" s="1031">
        <v>0</v>
      </c>
      <c r="P176" s="408"/>
      <c r="Q176" s="408" t="s">
        <v>3044</v>
      </c>
      <c r="R176" s="889">
        <v>0</v>
      </c>
      <c r="S176" s="410">
        <v>2</v>
      </c>
      <c r="T176" s="410">
        <v>2</v>
      </c>
      <c r="U176" s="596">
        <f>O176/4</f>
        <v>0</v>
      </c>
      <c r="V176" s="408">
        <v>44340</v>
      </c>
      <c r="W176" s="408" t="s">
        <v>1519</v>
      </c>
      <c r="X176" s="408" t="s">
        <v>1154</v>
      </c>
      <c r="Y176" s="408"/>
      <c r="Z176" s="408"/>
      <c r="AB176" s="121" t="s">
        <v>3319</v>
      </c>
    </row>
    <row r="177" spans="1:28" ht="12" hidden="1" customHeight="1">
      <c r="A177" s="355" t="s">
        <v>527</v>
      </c>
      <c r="B177" s="355" t="s">
        <v>693</v>
      </c>
      <c r="C177" s="357">
        <v>44919</v>
      </c>
      <c r="D177" s="357">
        <v>44933</v>
      </c>
      <c r="E177" s="355" t="s">
        <v>1787</v>
      </c>
      <c r="F177" s="355"/>
      <c r="G177" s="358" t="s">
        <v>1788</v>
      </c>
      <c r="H177" s="355" t="s">
        <v>1789</v>
      </c>
      <c r="I177" s="355" t="s">
        <v>18</v>
      </c>
      <c r="J177" s="355" t="s">
        <v>51</v>
      </c>
      <c r="K177" s="355"/>
      <c r="L177" s="355" t="s">
        <v>1790</v>
      </c>
      <c r="M177" s="355"/>
      <c r="N177" s="365" t="s">
        <v>1791</v>
      </c>
      <c r="O177" s="1036">
        <f>1290*2+70</f>
        <v>2650</v>
      </c>
      <c r="P177" s="355"/>
      <c r="Q177" s="355" t="s">
        <v>3044</v>
      </c>
      <c r="R177" s="891">
        <v>2</v>
      </c>
      <c r="S177" s="358">
        <v>2</v>
      </c>
      <c r="T177" s="358">
        <v>2</v>
      </c>
      <c r="U177" s="356">
        <v>663</v>
      </c>
      <c r="V177" s="355">
        <v>44696</v>
      </c>
      <c r="W177" s="355" t="s">
        <v>1519</v>
      </c>
      <c r="X177" s="355" t="s">
        <v>1154</v>
      </c>
      <c r="Y177" s="355"/>
      <c r="Z177" s="355"/>
      <c r="AB177" s="874" t="s">
        <v>2633</v>
      </c>
    </row>
    <row r="178" spans="1:28" ht="12" hidden="1" customHeight="1">
      <c r="A178" s="689" t="s">
        <v>2628</v>
      </c>
      <c r="B178" s="689" t="s">
        <v>2629</v>
      </c>
      <c r="C178" s="690">
        <v>44121</v>
      </c>
      <c r="D178" s="690">
        <v>44135</v>
      </c>
      <c r="E178" s="689" t="s">
        <v>2630</v>
      </c>
      <c r="F178" s="689"/>
      <c r="G178" s="691" t="s">
        <v>2631</v>
      </c>
      <c r="H178" s="689" t="s">
        <v>2632</v>
      </c>
      <c r="I178" s="689" t="s">
        <v>168</v>
      </c>
      <c r="J178" s="689" t="s">
        <v>51</v>
      </c>
      <c r="K178" s="689"/>
      <c r="L178" s="874" t="s">
        <v>2634</v>
      </c>
      <c r="M178" s="689"/>
      <c r="N178" s="874" t="s">
        <v>2633</v>
      </c>
      <c r="O178" s="1041">
        <v>0</v>
      </c>
      <c r="P178" s="689"/>
      <c r="Q178" s="689" t="s">
        <v>2635</v>
      </c>
      <c r="R178" s="696">
        <v>0</v>
      </c>
      <c r="S178" s="691">
        <v>2</v>
      </c>
      <c r="T178" s="691">
        <v>4</v>
      </c>
      <c r="U178" s="753">
        <v>495</v>
      </c>
      <c r="V178" s="695">
        <v>44025</v>
      </c>
      <c r="W178" s="689" t="s">
        <v>1338</v>
      </c>
      <c r="X178" s="689" t="s">
        <v>1154</v>
      </c>
      <c r="Y178" s="689"/>
      <c r="Z178" s="689"/>
      <c r="AB178" s="1181" t="s">
        <v>2633</v>
      </c>
    </row>
    <row r="179" spans="1:28" s="21" customFormat="1" ht="12" customHeight="1">
      <c r="A179" s="698" t="s">
        <v>2628</v>
      </c>
      <c r="B179" s="689" t="s">
        <v>2629</v>
      </c>
      <c r="C179" s="690">
        <v>44471</v>
      </c>
      <c r="D179" s="690">
        <v>44485</v>
      </c>
      <c r="E179" s="689" t="s">
        <v>2630</v>
      </c>
      <c r="F179" s="689"/>
      <c r="G179" s="691" t="s">
        <v>2631</v>
      </c>
      <c r="H179" s="689" t="s">
        <v>2632</v>
      </c>
      <c r="I179" s="689" t="s">
        <v>168</v>
      </c>
      <c r="J179" s="689" t="s">
        <v>51</v>
      </c>
      <c r="K179" s="689"/>
      <c r="L179" s="874" t="s">
        <v>2634</v>
      </c>
      <c r="M179" s="689"/>
      <c r="N179" s="874" t="s">
        <v>2633</v>
      </c>
      <c r="O179" s="1041">
        <f>2*1190+3*4*14</f>
        <v>2548</v>
      </c>
      <c r="P179" s="689"/>
      <c r="Q179" s="689" t="s">
        <v>2635</v>
      </c>
      <c r="R179" s="696">
        <v>2</v>
      </c>
      <c r="S179" s="691">
        <v>2</v>
      </c>
      <c r="T179" s="691">
        <v>4</v>
      </c>
      <c r="U179" s="753">
        <v>495</v>
      </c>
      <c r="V179" s="695">
        <v>44025</v>
      </c>
      <c r="W179" s="689" t="s">
        <v>1338</v>
      </c>
      <c r="X179" s="689" t="s">
        <v>1154</v>
      </c>
      <c r="Y179" s="689"/>
      <c r="Z179" s="689"/>
      <c r="AB179" s="121" t="s">
        <v>3289</v>
      </c>
    </row>
    <row r="180" spans="1:28" ht="12" customHeight="1">
      <c r="A180" s="1136" t="s">
        <v>2628</v>
      </c>
      <c r="B180" s="1136" t="s">
        <v>2629</v>
      </c>
      <c r="C180" s="1137">
        <v>44470</v>
      </c>
      <c r="D180" s="1137">
        <v>44484</v>
      </c>
      <c r="E180" s="1136" t="s">
        <v>2630</v>
      </c>
      <c r="F180" s="1136"/>
      <c r="G180" s="1139" t="s">
        <v>2631</v>
      </c>
      <c r="H180" s="1136" t="s">
        <v>2632</v>
      </c>
      <c r="I180" s="1136" t="s">
        <v>168</v>
      </c>
      <c r="J180" s="1136" t="s">
        <v>51</v>
      </c>
      <c r="K180" s="1136"/>
      <c r="L180" s="1146" t="s">
        <v>3349</v>
      </c>
      <c r="M180" s="1136"/>
      <c r="N180" s="1181" t="s">
        <v>2633</v>
      </c>
      <c r="O180" s="1141">
        <f>2*1190+3*4*14+70</f>
        <v>2618</v>
      </c>
      <c r="P180" s="1136"/>
      <c r="Q180" s="1136" t="s">
        <v>2635</v>
      </c>
      <c r="R180" s="1142">
        <v>2</v>
      </c>
      <c r="S180" s="1139">
        <v>2</v>
      </c>
      <c r="T180" s="1139">
        <v>4</v>
      </c>
      <c r="U180" s="1143">
        <v>595</v>
      </c>
      <c r="V180" s="1199">
        <v>44025</v>
      </c>
      <c r="W180" s="1136" t="s">
        <v>1338</v>
      </c>
      <c r="X180" s="1136" t="s">
        <v>1154</v>
      </c>
      <c r="Y180" s="1136"/>
      <c r="Z180" s="1136"/>
      <c r="AB180" s="50" t="s">
        <v>940</v>
      </c>
    </row>
    <row r="181" spans="1:28" ht="12" customHeight="1">
      <c r="A181" s="1250" t="s">
        <v>3313</v>
      </c>
      <c r="B181" s="923" t="s">
        <v>3314</v>
      </c>
      <c r="C181" s="924">
        <v>45094</v>
      </c>
      <c r="D181" s="924">
        <v>45108</v>
      </c>
      <c r="E181" s="923" t="s">
        <v>3315</v>
      </c>
      <c r="F181" s="923"/>
      <c r="G181" s="925" t="s">
        <v>3316</v>
      </c>
      <c r="H181" s="923" t="s">
        <v>3317</v>
      </c>
      <c r="I181" s="923" t="s">
        <v>18</v>
      </c>
      <c r="J181" s="923" t="s">
        <v>51</v>
      </c>
      <c r="K181" s="926" t="s">
        <v>3321</v>
      </c>
      <c r="L181" s="923" t="s">
        <v>3318</v>
      </c>
      <c r="M181" s="923"/>
      <c r="N181" s="121" t="s">
        <v>3319</v>
      </c>
      <c r="O181" s="1195">
        <f>1990+2190</f>
        <v>4180</v>
      </c>
      <c r="P181" s="923"/>
      <c r="Q181" s="923" t="s">
        <v>3320</v>
      </c>
      <c r="R181" s="1196">
        <v>2</v>
      </c>
      <c r="S181" s="925">
        <v>2</v>
      </c>
      <c r="T181" s="925">
        <v>4</v>
      </c>
      <c r="U181" s="1197">
        <v>1348</v>
      </c>
      <c r="V181" s="923">
        <v>44784</v>
      </c>
      <c r="W181" s="923" t="s">
        <v>1477</v>
      </c>
      <c r="X181" s="923" t="s">
        <v>1154</v>
      </c>
      <c r="Y181" s="923" t="s">
        <v>3323</v>
      </c>
      <c r="Z181" s="923"/>
      <c r="AB181" s="1120" t="s">
        <v>2941</v>
      </c>
    </row>
    <row r="182" spans="1:28" ht="12" customHeight="1">
      <c r="A182" s="115" t="s">
        <v>3283</v>
      </c>
      <c r="B182" s="115" t="s">
        <v>3284</v>
      </c>
      <c r="C182" s="116">
        <v>45164</v>
      </c>
      <c r="D182" s="116">
        <v>45178</v>
      </c>
      <c r="E182" s="115" t="s">
        <v>3285</v>
      </c>
      <c r="F182" s="115"/>
      <c r="G182" s="361" t="s">
        <v>3286</v>
      </c>
      <c r="H182" s="115" t="s">
        <v>3287</v>
      </c>
      <c r="I182" s="115" t="s">
        <v>18</v>
      </c>
      <c r="J182" s="115" t="s">
        <v>1023</v>
      </c>
      <c r="K182" s="124"/>
      <c r="L182" s="115" t="s">
        <v>3288</v>
      </c>
      <c r="M182" s="115"/>
      <c r="N182" s="121" t="s">
        <v>3289</v>
      </c>
      <c r="O182" s="1044">
        <f>2190+1990</f>
        <v>4180</v>
      </c>
      <c r="P182" s="115"/>
      <c r="Q182" s="115"/>
      <c r="R182" s="682">
        <v>2</v>
      </c>
      <c r="S182" s="361">
        <v>2</v>
      </c>
      <c r="T182" s="361">
        <v>2</v>
      </c>
      <c r="U182" s="1126">
        <v>1045</v>
      </c>
      <c r="V182" s="115">
        <v>44741</v>
      </c>
      <c r="W182" s="115" t="s">
        <v>1477</v>
      </c>
      <c r="X182" s="115" t="s">
        <v>1154</v>
      </c>
      <c r="Y182" s="115"/>
      <c r="Z182" s="115"/>
      <c r="AB182" s="128" t="s">
        <v>1857</v>
      </c>
    </row>
    <row r="183" spans="1:28" ht="12" customHeight="1">
      <c r="A183" s="21" t="s">
        <v>934</v>
      </c>
      <c r="B183" s="21" t="s">
        <v>935</v>
      </c>
      <c r="C183" s="30">
        <v>41118</v>
      </c>
      <c r="D183" s="30">
        <v>41139</v>
      </c>
      <c r="E183" s="21" t="s">
        <v>936</v>
      </c>
      <c r="F183" s="21"/>
      <c r="G183" s="764">
        <v>45359</v>
      </c>
      <c r="H183" s="21" t="s">
        <v>937</v>
      </c>
      <c r="I183" s="21" t="s">
        <v>18</v>
      </c>
      <c r="J183" s="21" t="s">
        <v>51</v>
      </c>
      <c r="K183" s="21" t="s">
        <v>938</v>
      </c>
      <c r="L183" s="21" t="s">
        <v>939</v>
      </c>
      <c r="M183" s="21"/>
      <c r="N183" s="50" t="s">
        <v>940</v>
      </c>
      <c r="O183" s="1013">
        <v>5670</v>
      </c>
      <c r="P183" s="21"/>
      <c r="Q183" s="21" t="s">
        <v>941</v>
      </c>
      <c r="R183" s="876">
        <v>3</v>
      </c>
      <c r="S183" s="764">
        <v>4</v>
      </c>
      <c r="T183" s="764">
        <v>1</v>
      </c>
      <c r="U183" s="1388">
        <v>1417.5</v>
      </c>
      <c r="V183" s="84">
        <v>41060</v>
      </c>
      <c r="W183" s="21"/>
      <c r="X183" s="21"/>
      <c r="Y183" s="21"/>
      <c r="Z183" s="21"/>
      <c r="AB183" s="850" t="s">
        <v>2648</v>
      </c>
    </row>
    <row r="184" spans="1:28" ht="12" customHeight="1" thickBot="1">
      <c r="A184" s="983" t="s">
        <v>2938</v>
      </c>
      <c r="B184" s="983" t="s">
        <v>1293</v>
      </c>
      <c r="C184" s="984">
        <v>44352</v>
      </c>
      <c r="D184" s="984">
        <v>44366</v>
      </c>
      <c r="E184" s="985" t="s">
        <v>2939</v>
      </c>
      <c r="F184" s="983"/>
      <c r="G184" s="986"/>
      <c r="H184" s="987"/>
      <c r="I184" s="983" t="s">
        <v>18</v>
      </c>
      <c r="J184" s="983" t="s">
        <v>51</v>
      </c>
      <c r="K184" s="983"/>
      <c r="L184" s="985" t="s">
        <v>2940</v>
      </c>
      <c r="M184" s="983"/>
      <c r="N184" s="1120" t="s">
        <v>2941</v>
      </c>
      <c r="O184" s="1046">
        <f>1190*2</f>
        <v>2380</v>
      </c>
      <c r="P184" s="983"/>
      <c r="Q184" s="983" t="s">
        <v>1192</v>
      </c>
      <c r="R184" s="988">
        <v>2</v>
      </c>
      <c r="S184" s="986">
        <v>2</v>
      </c>
      <c r="T184" s="986">
        <v>2</v>
      </c>
      <c r="U184" s="989"/>
      <c r="V184" s="990">
        <v>44346</v>
      </c>
      <c r="W184" s="983" t="s">
        <v>1769</v>
      </c>
      <c r="X184" s="983" t="s">
        <v>1154</v>
      </c>
      <c r="Y184" s="983"/>
      <c r="Z184" s="991"/>
      <c r="AB184" s="443" t="s">
        <v>3404</v>
      </c>
    </row>
    <row r="185" spans="1:28" ht="12" customHeight="1" thickBot="1">
      <c r="A185" s="517" t="s">
        <v>1852</v>
      </c>
      <c r="B185" s="539" t="s">
        <v>511</v>
      </c>
      <c r="C185" s="116">
        <v>43232</v>
      </c>
      <c r="D185" s="651">
        <v>43239</v>
      </c>
      <c r="E185" s="539" t="s">
        <v>1853</v>
      </c>
      <c r="F185" s="115"/>
      <c r="G185" s="361" t="s">
        <v>1854</v>
      </c>
      <c r="H185" s="364" t="s">
        <v>1855</v>
      </c>
      <c r="I185" s="115" t="s">
        <v>18</v>
      </c>
      <c r="J185" s="115" t="s">
        <v>51</v>
      </c>
      <c r="K185" s="115"/>
      <c r="L185" s="124" t="s">
        <v>1856</v>
      </c>
      <c r="M185" s="115"/>
      <c r="N185" s="128" t="s">
        <v>1857</v>
      </c>
      <c r="O185" s="1027">
        <f>890+42+70</f>
        <v>1002</v>
      </c>
      <c r="P185" s="115"/>
      <c r="Q185" s="115" t="s">
        <v>1858</v>
      </c>
      <c r="R185" s="682">
        <v>1</v>
      </c>
      <c r="S185" s="361">
        <v>2</v>
      </c>
      <c r="T185" s="361">
        <v>2</v>
      </c>
      <c r="U185" s="129">
        <v>222.5</v>
      </c>
      <c r="V185" s="120">
        <v>43060</v>
      </c>
      <c r="W185" s="115" t="s">
        <v>1769</v>
      </c>
      <c r="X185" s="115" t="s">
        <v>1154</v>
      </c>
      <c r="Y185" s="115"/>
      <c r="Z185" s="115"/>
      <c r="AB185" s="1146" t="s">
        <v>3125</v>
      </c>
    </row>
    <row r="186" spans="1:28" ht="12" customHeight="1" thickBot="1">
      <c r="A186" s="1258" t="s">
        <v>2645</v>
      </c>
      <c r="B186" s="1283" t="s">
        <v>2646</v>
      </c>
      <c r="C186" s="1300">
        <v>44331</v>
      </c>
      <c r="D186" s="1314">
        <v>44344</v>
      </c>
      <c r="E186" s="1339" t="s">
        <v>2649</v>
      </c>
      <c r="F186" s="408"/>
      <c r="G186" s="410">
        <v>8604</v>
      </c>
      <c r="H186" s="411" t="s">
        <v>2650</v>
      </c>
      <c r="I186" s="408" t="s">
        <v>168</v>
      </c>
      <c r="J186" s="408" t="s">
        <v>51</v>
      </c>
      <c r="K186" s="408"/>
      <c r="L186" s="970" t="s">
        <v>2647</v>
      </c>
      <c r="M186" s="408"/>
      <c r="N186" s="850" t="s">
        <v>2648</v>
      </c>
      <c r="O186" s="1031">
        <v>0</v>
      </c>
      <c r="P186" s="408"/>
      <c r="Q186" s="408" t="s">
        <v>2920</v>
      </c>
      <c r="R186" s="889">
        <v>0</v>
      </c>
      <c r="S186" s="410">
        <v>2</v>
      </c>
      <c r="T186" s="410">
        <v>1</v>
      </c>
      <c r="U186" s="415">
        <v>425</v>
      </c>
      <c r="V186" s="416">
        <v>44035</v>
      </c>
      <c r="W186" s="408" t="s">
        <v>1477</v>
      </c>
      <c r="X186" s="408" t="s">
        <v>1154</v>
      </c>
      <c r="Y186" s="408" t="s">
        <v>2726</v>
      </c>
      <c r="Z186" s="972" t="s">
        <v>2922</v>
      </c>
      <c r="AB186" s="51" t="s">
        <v>401</v>
      </c>
    </row>
    <row r="187" spans="1:28" ht="12" customHeight="1" thickBot="1">
      <c r="A187" s="1247" t="s">
        <v>3401</v>
      </c>
      <c r="B187" s="1233" t="s">
        <v>3402</v>
      </c>
      <c r="C187" s="1234">
        <v>45122</v>
      </c>
      <c r="D187" s="1318">
        <v>45129</v>
      </c>
      <c r="E187" s="1336"/>
      <c r="F187" s="1233"/>
      <c r="G187" s="1235"/>
      <c r="H187" s="1233"/>
      <c r="I187" s="1233" t="s">
        <v>18</v>
      </c>
      <c r="J187" s="1233" t="s">
        <v>51</v>
      </c>
      <c r="K187" s="1236"/>
      <c r="L187" s="1233" t="s">
        <v>3403</v>
      </c>
      <c r="M187" s="1233"/>
      <c r="N187" s="443" t="s">
        <v>3404</v>
      </c>
      <c r="O187" s="1237">
        <v>2490</v>
      </c>
      <c r="P187" s="1233"/>
      <c r="Q187" s="1233" t="s">
        <v>3405</v>
      </c>
      <c r="R187" s="1238">
        <v>1</v>
      </c>
      <c r="S187" s="1235">
        <v>3</v>
      </c>
      <c r="T187" s="1235">
        <v>1</v>
      </c>
      <c r="U187" s="1247"/>
      <c r="V187" s="1233" t="s">
        <v>3406</v>
      </c>
      <c r="W187" s="1233" t="s">
        <v>1338</v>
      </c>
      <c r="X187" s="1233" t="s">
        <v>1154</v>
      </c>
      <c r="Y187" s="1233"/>
      <c r="Z187" s="1233"/>
      <c r="AB187" s="49" t="s">
        <v>310</v>
      </c>
    </row>
    <row r="188" spans="1:28" ht="12" customHeight="1" thickBot="1">
      <c r="A188" s="1248" t="s">
        <v>3120</v>
      </c>
      <c r="B188" s="1278" t="s">
        <v>2686</v>
      </c>
      <c r="C188" s="1144">
        <v>44723</v>
      </c>
      <c r="D188" s="1315">
        <v>44730</v>
      </c>
      <c r="E188" s="1334" t="s">
        <v>3124</v>
      </c>
      <c r="F188" s="1136"/>
      <c r="G188" s="1139" t="s">
        <v>3123</v>
      </c>
      <c r="H188" s="1136" t="s">
        <v>239</v>
      </c>
      <c r="I188" s="1136" t="s">
        <v>18</v>
      </c>
      <c r="J188" s="1136" t="s">
        <v>51</v>
      </c>
      <c r="K188" s="1136" t="s">
        <v>3121</v>
      </c>
      <c r="L188" s="1136" t="s">
        <v>3122</v>
      </c>
      <c r="M188" s="1136"/>
      <c r="N188" s="1146" t="s">
        <v>3125</v>
      </c>
      <c r="O188" s="1141">
        <f>1590+70+21</f>
        <v>1681</v>
      </c>
      <c r="P188" s="1136"/>
      <c r="Q188" s="1136" t="s">
        <v>3126</v>
      </c>
      <c r="R188" s="1142">
        <v>1</v>
      </c>
      <c r="S188" s="1139">
        <v>2</v>
      </c>
      <c r="T188" s="1139">
        <v>1</v>
      </c>
      <c r="U188" s="1147">
        <v>400</v>
      </c>
      <c r="V188" s="1136">
        <v>44568</v>
      </c>
      <c r="W188" s="1136" t="s">
        <v>1338</v>
      </c>
      <c r="X188" s="1136" t="s">
        <v>1154</v>
      </c>
      <c r="Y188" s="1136"/>
      <c r="Z188" s="1136"/>
      <c r="AB188" s="363" t="s">
        <v>2692</v>
      </c>
    </row>
    <row r="189" spans="1:28" ht="12" customHeight="1" thickBot="1">
      <c r="A189" s="21" t="s">
        <v>395</v>
      </c>
      <c r="B189" s="21" t="s">
        <v>396</v>
      </c>
      <c r="C189" s="30">
        <v>39704</v>
      </c>
      <c r="D189" s="1310">
        <v>39718</v>
      </c>
      <c r="E189" s="1331" t="s">
        <v>397</v>
      </c>
      <c r="F189" s="21"/>
      <c r="G189" s="764">
        <v>37269</v>
      </c>
      <c r="H189" s="21" t="s">
        <v>398</v>
      </c>
      <c r="I189" s="21" t="s">
        <v>18</v>
      </c>
      <c r="J189" s="21" t="s">
        <v>51</v>
      </c>
      <c r="K189" s="21" t="s">
        <v>399</v>
      </c>
      <c r="L189" s="21" t="s">
        <v>400</v>
      </c>
      <c r="M189" s="21"/>
      <c r="N189" s="51" t="s">
        <v>401</v>
      </c>
      <c r="O189" s="1013">
        <v>2270</v>
      </c>
      <c r="P189" s="21"/>
      <c r="Q189" s="21"/>
      <c r="R189" s="876">
        <v>2</v>
      </c>
      <c r="S189" s="764">
        <v>2</v>
      </c>
      <c r="T189" s="764">
        <v>1</v>
      </c>
      <c r="U189" s="1364">
        <v>550</v>
      </c>
      <c r="V189" s="21"/>
      <c r="W189" s="21"/>
      <c r="X189" s="21"/>
      <c r="Y189" s="21"/>
      <c r="Z189" s="21"/>
      <c r="AB189" s="50" t="s">
        <v>1459</v>
      </c>
    </row>
    <row r="190" spans="1:28" ht="12" customHeight="1" thickBot="1">
      <c r="A190" s="1244" t="s">
        <v>304</v>
      </c>
      <c r="B190" s="782" t="s">
        <v>305</v>
      </c>
      <c r="C190" s="31">
        <v>38577</v>
      </c>
      <c r="D190" s="567">
        <v>38591</v>
      </c>
      <c r="E190" s="541" t="s">
        <v>306</v>
      </c>
      <c r="G190" s="132">
        <v>68542</v>
      </c>
      <c r="H190" s="8" t="s">
        <v>307</v>
      </c>
      <c r="I190" s="8" t="s">
        <v>18</v>
      </c>
      <c r="J190" s="8" t="s">
        <v>51</v>
      </c>
      <c r="K190" s="8" t="s">
        <v>308</v>
      </c>
      <c r="M190" s="8" t="s">
        <v>309</v>
      </c>
      <c r="N190" s="49" t="s">
        <v>310</v>
      </c>
      <c r="O190" s="1015">
        <v>1300</v>
      </c>
      <c r="Q190" s="8" t="s">
        <v>311</v>
      </c>
      <c r="R190" s="685">
        <v>2</v>
      </c>
      <c r="S190" s="132">
        <v>2</v>
      </c>
      <c r="T190" s="132">
        <v>1</v>
      </c>
      <c r="U190" s="8" t="s">
        <v>232</v>
      </c>
      <c r="W190" s="8" t="s">
        <v>313</v>
      </c>
      <c r="AB190" s="50" t="s">
        <v>721</v>
      </c>
    </row>
    <row r="191" spans="1:28" ht="12" customHeight="1" thickBot="1">
      <c r="A191" s="511" t="s">
        <v>2685</v>
      </c>
      <c r="B191" s="535" t="s">
        <v>2686</v>
      </c>
      <c r="C191" s="116">
        <v>44387</v>
      </c>
      <c r="D191" s="568">
        <v>44408</v>
      </c>
      <c r="E191" s="535" t="s">
        <v>2687</v>
      </c>
      <c r="F191" s="115"/>
      <c r="G191" s="361" t="s">
        <v>2688</v>
      </c>
      <c r="H191" s="115" t="s">
        <v>2689</v>
      </c>
      <c r="I191" s="115" t="s">
        <v>18</v>
      </c>
      <c r="J191" s="115" t="s">
        <v>51</v>
      </c>
      <c r="K191" s="124" t="s">
        <v>2690</v>
      </c>
      <c r="L191" s="115" t="s">
        <v>2691</v>
      </c>
      <c r="M191" s="115"/>
      <c r="N191" s="363" t="s">
        <v>2692</v>
      </c>
      <c r="O191" s="1027">
        <f>1990*3</f>
        <v>5970</v>
      </c>
      <c r="P191" s="115"/>
      <c r="Q191" s="115" t="s">
        <v>1879</v>
      </c>
      <c r="R191" s="682">
        <v>3</v>
      </c>
      <c r="S191" s="361">
        <v>4</v>
      </c>
      <c r="T191" s="361">
        <v>1</v>
      </c>
      <c r="U191" s="921">
        <v>1492.5</v>
      </c>
      <c r="V191" s="115">
        <v>44438</v>
      </c>
      <c r="W191" s="115" t="s">
        <v>1769</v>
      </c>
      <c r="X191" s="115" t="s">
        <v>1154</v>
      </c>
      <c r="Y191" s="115"/>
      <c r="Z191" s="115"/>
      <c r="AB191" s="365" t="s">
        <v>2013</v>
      </c>
    </row>
    <row r="192" spans="1:28" ht="12" customHeight="1">
      <c r="A192" s="21" t="s">
        <v>1452</v>
      </c>
      <c r="B192" s="21" t="s">
        <v>1453</v>
      </c>
      <c r="C192" s="30">
        <v>42294</v>
      </c>
      <c r="D192" s="30">
        <v>42305</v>
      </c>
      <c r="E192" s="21" t="s">
        <v>1454</v>
      </c>
      <c r="F192" s="21"/>
      <c r="G192" s="764" t="s">
        <v>1455</v>
      </c>
      <c r="H192" s="21" t="s">
        <v>1456</v>
      </c>
      <c r="I192" s="21" t="s">
        <v>18</v>
      </c>
      <c r="J192" s="21" t="s">
        <v>51</v>
      </c>
      <c r="K192" s="21" t="s">
        <v>1457</v>
      </c>
      <c r="L192" s="21" t="s">
        <v>1458</v>
      </c>
      <c r="M192" s="21"/>
      <c r="N192" s="50" t="s">
        <v>1459</v>
      </c>
      <c r="O192" s="1013">
        <v>1190</v>
      </c>
      <c r="P192" s="21"/>
      <c r="Q192" s="21" t="s">
        <v>1460</v>
      </c>
      <c r="R192" s="876">
        <v>1.5</v>
      </c>
      <c r="S192" s="764"/>
      <c r="T192" s="764">
        <v>1</v>
      </c>
      <c r="U192" s="1367">
        <v>297.5</v>
      </c>
      <c r="V192" s="78">
        <v>42242</v>
      </c>
      <c r="W192" s="21"/>
      <c r="X192" s="21" t="s">
        <v>1154</v>
      </c>
      <c r="Y192" s="21"/>
      <c r="Z192" s="21"/>
      <c r="AB192" s="1151"/>
    </row>
    <row r="193" spans="1:26" ht="12" customHeight="1">
      <c r="A193" s="21" t="s">
        <v>718</v>
      </c>
      <c r="B193" s="21" t="s">
        <v>328</v>
      </c>
      <c r="C193" s="30">
        <v>40789</v>
      </c>
      <c r="D193" s="30">
        <v>40803</v>
      </c>
      <c r="E193" s="21" t="s">
        <v>719</v>
      </c>
      <c r="F193" s="21"/>
      <c r="G193" s="764">
        <v>40213</v>
      </c>
      <c r="H193" s="21" t="s">
        <v>720</v>
      </c>
      <c r="I193" s="21" t="s">
        <v>18</v>
      </c>
      <c r="J193" s="21" t="s">
        <v>51</v>
      </c>
      <c r="K193" s="21" t="s">
        <v>763</v>
      </c>
      <c r="L193" s="21"/>
      <c r="M193" s="21"/>
      <c r="N193" s="50" t="s">
        <v>721</v>
      </c>
      <c r="O193" s="1013">
        <f>2480+70</f>
        <v>2550</v>
      </c>
      <c r="P193" s="21"/>
      <c r="Q193" s="21" t="s">
        <v>199</v>
      </c>
      <c r="R193" s="876">
        <v>2</v>
      </c>
      <c r="S193" s="764">
        <v>2</v>
      </c>
      <c r="T193" s="764">
        <v>2</v>
      </c>
      <c r="U193" s="1364">
        <v>620</v>
      </c>
      <c r="V193" s="21"/>
      <c r="W193" s="21"/>
      <c r="X193" s="21"/>
      <c r="Y193" s="21"/>
      <c r="Z193" s="21"/>
    </row>
    <row r="194" spans="1:26" ht="12" hidden="1" customHeight="1">
      <c r="A194" s="355" t="s">
        <v>2008</v>
      </c>
      <c r="B194" s="355" t="s">
        <v>1588</v>
      </c>
      <c r="C194" s="357">
        <v>43561</v>
      </c>
      <c r="D194" s="357">
        <v>43575</v>
      </c>
      <c r="E194" s="355" t="s">
        <v>2009</v>
      </c>
      <c r="F194" s="355"/>
      <c r="G194" s="358" t="s">
        <v>2010</v>
      </c>
      <c r="H194" s="367" t="s">
        <v>2011</v>
      </c>
      <c r="I194" s="355" t="s">
        <v>18</v>
      </c>
      <c r="J194" s="355" t="s">
        <v>1023</v>
      </c>
      <c r="K194" s="355"/>
      <c r="L194" s="368" t="s">
        <v>2012</v>
      </c>
      <c r="M194" s="355"/>
      <c r="N194" s="365" t="s">
        <v>2013</v>
      </c>
      <c r="O194" s="1036">
        <f>790*2</f>
        <v>1580</v>
      </c>
      <c r="P194" s="355"/>
      <c r="Q194" s="355" t="s">
        <v>2014</v>
      </c>
      <c r="R194" s="891">
        <v>2</v>
      </c>
      <c r="S194" s="358">
        <v>5</v>
      </c>
      <c r="T194" s="358">
        <v>1</v>
      </c>
      <c r="U194" s="417" t="s">
        <v>1154</v>
      </c>
      <c r="V194" s="360"/>
      <c r="W194" s="355"/>
      <c r="X194" s="355"/>
      <c r="Y194" s="355"/>
      <c r="Z194" s="355"/>
    </row>
    <row r="195" spans="1:26" ht="12" hidden="1" customHeight="1">
      <c r="A195" s="21" t="s">
        <v>510</v>
      </c>
      <c r="B195" s="21" t="s">
        <v>511</v>
      </c>
      <c r="C195" s="30">
        <v>40069</v>
      </c>
      <c r="D195" s="30">
        <v>40083</v>
      </c>
      <c r="E195" s="21"/>
      <c r="F195" s="21"/>
      <c r="G195" s="764"/>
      <c r="H195" s="21"/>
      <c r="I195" s="21" t="s">
        <v>18</v>
      </c>
      <c r="J195" s="21" t="s">
        <v>51</v>
      </c>
      <c r="K195" s="21"/>
      <c r="L195" s="21"/>
      <c r="M195" s="21"/>
      <c r="N195" s="50"/>
      <c r="O195" s="1013">
        <v>2112</v>
      </c>
      <c r="P195" s="21"/>
      <c r="Q195" s="21" t="s">
        <v>512</v>
      </c>
      <c r="R195" s="876">
        <v>2</v>
      </c>
      <c r="S195" s="764">
        <v>2</v>
      </c>
      <c r="T195" s="764">
        <v>1</v>
      </c>
      <c r="U195" s="1357">
        <v>500</v>
      </c>
      <c r="V195" s="21"/>
      <c r="W195" s="21"/>
      <c r="X195" s="21"/>
      <c r="Y195" s="21"/>
      <c r="Z195" s="21"/>
    </row>
    <row r="196" spans="1:26" ht="12" hidden="1" customHeight="1">
      <c r="A196" s="21" t="s">
        <v>644</v>
      </c>
      <c r="B196" s="21" t="s">
        <v>396</v>
      </c>
      <c r="C196" s="30">
        <v>40334</v>
      </c>
      <c r="D196" s="30">
        <v>40348</v>
      </c>
      <c r="E196" s="21" t="s">
        <v>645</v>
      </c>
      <c r="F196" s="21"/>
      <c r="G196" s="764" t="s">
        <v>646</v>
      </c>
      <c r="H196" s="21" t="s">
        <v>647</v>
      </c>
      <c r="I196" s="21" t="s">
        <v>18</v>
      </c>
      <c r="J196" s="21" t="s">
        <v>51</v>
      </c>
      <c r="K196" s="21" t="s">
        <v>648</v>
      </c>
      <c r="L196" s="21" t="s">
        <v>649</v>
      </c>
      <c r="M196" s="21"/>
      <c r="N196" s="51"/>
      <c r="O196" s="1020">
        <f>1700+70+60</f>
        <v>1830</v>
      </c>
      <c r="P196" s="21"/>
      <c r="Q196" s="21" t="s">
        <v>599</v>
      </c>
      <c r="R196" s="876">
        <v>2</v>
      </c>
      <c r="S196" s="764">
        <v>2</v>
      </c>
      <c r="T196" s="764"/>
      <c r="U196" s="1380">
        <v>425</v>
      </c>
      <c r="V196" s="21"/>
      <c r="W196" s="21"/>
      <c r="X196" s="21"/>
      <c r="Y196" s="21"/>
      <c r="Z196" s="21"/>
    </row>
    <row r="197" spans="1:26" ht="12" hidden="1" customHeight="1">
      <c r="A197" s="21" t="s">
        <v>660</v>
      </c>
      <c r="B197" s="21" t="s">
        <v>661</v>
      </c>
      <c r="C197" s="30">
        <v>40418</v>
      </c>
      <c r="D197" s="30">
        <v>40432</v>
      </c>
      <c r="E197" s="21" t="s">
        <v>662</v>
      </c>
      <c r="F197" s="21"/>
      <c r="G197" s="764" t="s">
        <v>664</v>
      </c>
      <c r="H197" s="21" t="s">
        <v>663</v>
      </c>
      <c r="I197" s="21" t="s">
        <v>18</v>
      </c>
      <c r="J197" s="21" t="s">
        <v>51</v>
      </c>
      <c r="K197" s="53" t="s">
        <v>666</v>
      </c>
      <c r="L197" s="21"/>
      <c r="M197" s="21"/>
      <c r="N197" s="50"/>
      <c r="O197" s="1013">
        <f>545*4+42+70</f>
        <v>2292</v>
      </c>
      <c r="P197" s="21"/>
      <c r="Q197" s="21" t="s">
        <v>659</v>
      </c>
      <c r="R197" s="876">
        <v>2</v>
      </c>
      <c r="S197" s="764">
        <v>4</v>
      </c>
      <c r="T197" s="764">
        <v>1</v>
      </c>
      <c r="U197" s="1363">
        <v>545</v>
      </c>
      <c r="V197" s="21"/>
      <c r="W197" s="21"/>
      <c r="X197" s="21"/>
      <c r="Y197" s="21"/>
      <c r="Z197" s="21"/>
    </row>
    <row r="198" spans="1:26" ht="12" hidden="1" customHeight="1">
      <c r="A198" s="21" t="s">
        <v>947</v>
      </c>
      <c r="B198" s="21"/>
      <c r="C198" s="30">
        <v>41188</v>
      </c>
      <c r="D198" s="30">
        <v>41198</v>
      </c>
      <c r="E198" s="21" t="s">
        <v>948</v>
      </c>
      <c r="F198" s="21"/>
      <c r="G198" s="764">
        <v>66879</v>
      </c>
      <c r="H198" s="21" t="s">
        <v>949</v>
      </c>
      <c r="I198" s="21" t="s">
        <v>18</v>
      </c>
      <c r="J198" s="21" t="s">
        <v>51</v>
      </c>
      <c r="K198" s="21">
        <v>49637170197</v>
      </c>
      <c r="L198" s="21" t="s">
        <v>1005</v>
      </c>
      <c r="M198" s="21"/>
      <c r="N198" s="50"/>
      <c r="O198" s="1013">
        <f>790*2-330+70</f>
        <v>1320</v>
      </c>
      <c r="P198" s="21"/>
      <c r="Q198" s="21" t="s">
        <v>674</v>
      </c>
      <c r="R198" s="876">
        <v>2</v>
      </c>
      <c r="S198" s="764">
        <v>5</v>
      </c>
      <c r="T198" s="764"/>
      <c r="U198" s="1379">
        <v>300</v>
      </c>
      <c r="V198" s="78"/>
      <c r="W198" s="21" t="s">
        <v>951</v>
      </c>
      <c r="X198" s="21"/>
      <c r="Y198" s="21"/>
      <c r="Z198" s="21"/>
    </row>
    <row r="199" spans="1:26" ht="12" hidden="1" customHeight="1">
      <c r="A199" s="21" t="s">
        <v>1134</v>
      </c>
      <c r="B199" s="21" t="s">
        <v>1133</v>
      </c>
      <c r="C199" s="30">
        <v>41475</v>
      </c>
      <c r="D199" s="30">
        <v>41482</v>
      </c>
      <c r="E199" s="21" t="s">
        <v>1139</v>
      </c>
      <c r="F199" s="21"/>
      <c r="G199" s="764" t="s">
        <v>1140</v>
      </c>
      <c r="H199" s="21" t="s">
        <v>1141</v>
      </c>
      <c r="I199" s="21" t="s">
        <v>18</v>
      </c>
      <c r="J199" s="21" t="s">
        <v>51</v>
      </c>
      <c r="K199" s="807" t="s">
        <v>1135</v>
      </c>
      <c r="L199" s="21" t="s">
        <v>1136</v>
      </c>
      <c r="M199" s="21"/>
      <c r="N199" s="50"/>
      <c r="O199" s="1013">
        <v>1790</v>
      </c>
      <c r="P199" s="21"/>
      <c r="Q199" s="21"/>
      <c r="R199" s="876">
        <v>1</v>
      </c>
      <c r="S199" s="764" t="s">
        <v>1138</v>
      </c>
      <c r="T199" s="764">
        <v>2</v>
      </c>
      <c r="U199" s="75">
        <v>547.5</v>
      </c>
      <c r="V199" s="78">
        <v>41427</v>
      </c>
      <c r="W199" s="21" t="s">
        <v>1052</v>
      </c>
      <c r="X199" s="100">
        <f>O199-U199</f>
        <v>1242.5</v>
      </c>
      <c r="Y199" s="21"/>
      <c r="Z199" s="21"/>
    </row>
    <row r="200" spans="1:26" s="21" customFormat="1" ht="12" hidden="1" customHeight="1">
      <c r="A200" s="21" t="s">
        <v>1053</v>
      </c>
      <c r="B200" s="21" t="s">
        <v>1054</v>
      </c>
      <c r="C200" s="30">
        <v>41489</v>
      </c>
      <c r="D200" s="30">
        <v>41503</v>
      </c>
      <c r="E200" s="21" t="s">
        <v>1055</v>
      </c>
      <c r="G200" s="764">
        <v>70180</v>
      </c>
      <c r="H200" s="21" t="s">
        <v>1056</v>
      </c>
      <c r="I200" s="21" t="s">
        <v>18</v>
      </c>
      <c r="J200" s="21" t="s">
        <v>51</v>
      </c>
      <c r="K200" s="21" t="s">
        <v>1057</v>
      </c>
      <c r="L200" s="21" t="s">
        <v>1058</v>
      </c>
      <c r="N200" s="50"/>
      <c r="O200" s="1013">
        <f>2*1990</f>
        <v>3980</v>
      </c>
      <c r="Q200" s="21" t="s">
        <v>1060</v>
      </c>
      <c r="R200" s="876">
        <v>2</v>
      </c>
      <c r="S200" s="764" t="s">
        <v>1061</v>
      </c>
      <c r="T200" s="764">
        <v>1</v>
      </c>
      <c r="U200" s="75">
        <f>985</f>
        <v>985</v>
      </c>
      <c r="V200" s="84">
        <v>41293</v>
      </c>
      <c r="W200" s="21" t="s">
        <v>791</v>
      </c>
    </row>
    <row r="201" spans="1:26" s="21" customFormat="1" ht="12" hidden="1" customHeight="1">
      <c r="A201" s="21" t="s">
        <v>1157</v>
      </c>
      <c r="B201" s="21" t="s">
        <v>1158</v>
      </c>
      <c r="C201" s="30">
        <v>41503</v>
      </c>
      <c r="D201" s="30">
        <v>41510</v>
      </c>
      <c r="E201" s="21" t="s">
        <v>1159</v>
      </c>
      <c r="G201" s="764" t="s">
        <v>1160</v>
      </c>
      <c r="H201" s="21" t="s">
        <v>1161</v>
      </c>
      <c r="I201" s="21" t="s">
        <v>18</v>
      </c>
      <c r="J201" s="21" t="s">
        <v>1023</v>
      </c>
      <c r="K201" s="21" t="s">
        <v>1162</v>
      </c>
      <c r="L201" s="21" t="s">
        <v>1163</v>
      </c>
      <c r="N201" s="50"/>
      <c r="O201" s="1013">
        <f>1390+70</f>
        <v>1460</v>
      </c>
      <c r="Q201" s="21" t="s">
        <v>1165</v>
      </c>
      <c r="R201" s="876">
        <v>2</v>
      </c>
      <c r="S201" s="764" t="s">
        <v>1025</v>
      </c>
      <c r="T201" s="764"/>
      <c r="U201" s="75">
        <f>2480/4</f>
        <v>620</v>
      </c>
      <c r="V201" s="78">
        <v>41207</v>
      </c>
    </row>
    <row r="202" spans="1:26" s="21" customFormat="1" ht="12" hidden="1" customHeight="1">
      <c r="A202" s="21" t="s">
        <v>1194</v>
      </c>
      <c r="B202" s="21" t="s">
        <v>1193</v>
      </c>
      <c r="C202" s="30">
        <v>41741</v>
      </c>
      <c r="D202" s="30">
        <v>41755</v>
      </c>
      <c r="E202" s="21" t="s">
        <v>1195</v>
      </c>
      <c r="G202" s="764" t="s">
        <v>1196</v>
      </c>
      <c r="H202" s="21" t="s">
        <v>1197</v>
      </c>
      <c r="I202" s="21" t="s">
        <v>18</v>
      </c>
      <c r="J202" s="21" t="s">
        <v>51</v>
      </c>
      <c r="K202" s="21" t="s">
        <v>1198</v>
      </c>
      <c r="L202" s="21" t="s">
        <v>1199</v>
      </c>
      <c r="N202" s="50"/>
      <c r="O202" s="1013">
        <f>790+790</f>
        <v>1580</v>
      </c>
      <c r="Q202" s="21" t="s">
        <v>1201</v>
      </c>
      <c r="R202" s="876">
        <v>2</v>
      </c>
      <c r="S202" s="764" t="s">
        <v>1202</v>
      </c>
      <c r="T202" s="764">
        <v>0</v>
      </c>
      <c r="U202" s="75">
        <f>1580/4</f>
        <v>395</v>
      </c>
      <c r="V202" s="78">
        <v>41603</v>
      </c>
      <c r="W202" s="21" t="s">
        <v>791</v>
      </c>
      <c r="X202" s="21" t="s">
        <v>1154</v>
      </c>
    </row>
    <row r="203" spans="1:26" s="21" customFormat="1" ht="12" hidden="1" customHeight="1">
      <c r="A203" s="21" t="s">
        <v>1294</v>
      </c>
      <c r="B203" s="21" t="s">
        <v>1293</v>
      </c>
      <c r="C203" s="30">
        <v>41951</v>
      </c>
      <c r="D203" s="30">
        <v>41866</v>
      </c>
      <c r="E203" s="21" t="s">
        <v>1295</v>
      </c>
      <c r="G203" s="764" t="s">
        <v>1296</v>
      </c>
      <c r="H203" s="21" t="s">
        <v>1297</v>
      </c>
      <c r="I203" s="21" t="s">
        <v>168</v>
      </c>
      <c r="J203" s="21" t="s">
        <v>51</v>
      </c>
      <c r="L203" s="21" t="s">
        <v>1298</v>
      </c>
      <c r="N203" s="50"/>
      <c r="O203" s="1013">
        <f>790+60</f>
        <v>850</v>
      </c>
      <c r="Q203" s="21" t="s">
        <v>1300</v>
      </c>
      <c r="R203" s="876">
        <v>1</v>
      </c>
      <c r="S203" s="764">
        <v>2</v>
      </c>
      <c r="T203" s="764">
        <v>3</v>
      </c>
      <c r="U203" s="75"/>
      <c r="V203" s="78">
        <v>41917</v>
      </c>
      <c r="W203" s="21" t="s">
        <v>1301</v>
      </c>
      <c r="X203" s="21" t="s">
        <v>1154</v>
      </c>
    </row>
    <row r="204" spans="1:26" s="21" customFormat="1" ht="12" hidden="1" customHeight="1">
      <c r="A204" s="21" t="s">
        <v>527</v>
      </c>
      <c r="B204" s="21" t="s">
        <v>857</v>
      </c>
      <c r="C204" s="30">
        <v>42081</v>
      </c>
      <c r="D204" s="30">
        <v>42095</v>
      </c>
      <c r="E204" s="21" t="s">
        <v>1421</v>
      </c>
      <c r="G204" s="764" t="s">
        <v>1422</v>
      </c>
      <c r="H204" s="21" t="s">
        <v>1423</v>
      </c>
      <c r="I204" s="21" t="s">
        <v>18</v>
      </c>
      <c r="J204" s="21" t="s">
        <v>51</v>
      </c>
      <c r="K204" s="21" t="s">
        <v>1424</v>
      </c>
      <c r="N204" s="50"/>
      <c r="O204" s="1013">
        <f>690*2</f>
        <v>1380</v>
      </c>
      <c r="Q204" s="21">
        <v>1</v>
      </c>
      <c r="R204" s="876">
        <v>2</v>
      </c>
      <c r="S204" s="764">
        <v>2</v>
      </c>
      <c r="T204" s="764">
        <v>1</v>
      </c>
      <c r="U204" s="75">
        <v>345</v>
      </c>
      <c r="V204" s="78">
        <v>42055</v>
      </c>
      <c r="W204" s="21" t="s">
        <v>791</v>
      </c>
      <c r="X204" s="21" t="s">
        <v>1154</v>
      </c>
    </row>
    <row r="205" spans="1:26" s="21" customFormat="1" ht="12" hidden="1" customHeight="1">
      <c r="A205" s="115" t="s">
        <v>1462</v>
      </c>
      <c r="B205" s="115" t="s">
        <v>528</v>
      </c>
      <c r="C205" s="116">
        <v>42518</v>
      </c>
      <c r="D205" s="116">
        <v>42525</v>
      </c>
      <c r="E205" s="115" t="s">
        <v>1463</v>
      </c>
      <c r="F205" s="115"/>
      <c r="G205" s="361" t="s">
        <v>1464</v>
      </c>
      <c r="H205" s="115" t="s">
        <v>1465</v>
      </c>
      <c r="I205" s="115" t="s">
        <v>18</v>
      </c>
      <c r="J205" s="115" t="s">
        <v>51</v>
      </c>
      <c r="K205" s="115" t="s">
        <v>1466</v>
      </c>
      <c r="L205" s="115" t="s">
        <v>1467</v>
      </c>
      <c r="M205" s="115"/>
      <c r="N205" s="8"/>
      <c r="O205" s="1027">
        <f>1090</f>
        <v>1090</v>
      </c>
      <c r="P205" s="115"/>
      <c r="Q205" s="115" t="s">
        <v>1300</v>
      </c>
      <c r="R205" s="682">
        <v>1</v>
      </c>
      <c r="S205" s="361">
        <v>2</v>
      </c>
      <c r="T205" s="361">
        <v>3</v>
      </c>
      <c r="U205" s="119">
        <v>500</v>
      </c>
      <c r="V205" s="120">
        <v>42241</v>
      </c>
      <c r="W205" s="115"/>
      <c r="X205" s="115" t="s">
        <v>1154</v>
      </c>
      <c r="Y205" s="115"/>
      <c r="Z205" s="115"/>
    </row>
    <row r="206" spans="1:26" s="21" customFormat="1" ht="12" hidden="1" customHeight="1">
      <c r="A206" s="832" t="s">
        <v>1621</v>
      </c>
      <c r="B206" s="832" t="s">
        <v>730</v>
      </c>
      <c r="C206" s="833">
        <v>42644</v>
      </c>
      <c r="D206" s="833">
        <v>42651</v>
      </c>
      <c r="E206" s="832"/>
      <c r="F206" s="832"/>
      <c r="G206" s="834"/>
      <c r="H206" s="832"/>
      <c r="I206" s="832" t="s">
        <v>18</v>
      </c>
      <c r="J206" s="832" t="s">
        <v>51</v>
      </c>
      <c r="K206" s="832"/>
      <c r="L206" s="849" t="s">
        <v>1622</v>
      </c>
      <c r="M206" s="832"/>
      <c r="N206" s="128"/>
      <c r="O206" s="1028">
        <f>1120-168</f>
        <v>952</v>
      </c>
      <c r="P206" s="832"/>
      <c r="Q206" s="832"/>
      <c r="R206" s="886">
        <v>1</v>
      </c>
      <c r="S206" s="834" t="s">
        <v>1517</v>
      </c>
      <c r="T206" s="834">
        <v>0</v>
      </c>
      <c r="U206" s="836"/>
      <c r="V206" s="837"/>
      <c r="W206" s="832" t="s">
        <v>1592</v>
      </c>
      <c r="X206" s="832"/>
      <c r="Y206" s="832"/>
      <c r="Z206" s="832"/>
    </row>
    <row r="207" spans="1:26" s="21" customFormat="1" ht="12" hidden="1" customHeight="1">
      <c r="A207" s="115" t="s">
        <v>1633</v>
      </c>
      <c r="B207" s="115" t="s">
        <v>1634</v>
      </c>
      <c r="C207" s="116">
        <v>42734</v>
      </c>
      <c r="D207" s="116">
        <v>42742</v>
      </c>
      <c r="E207" s="115" t="s">
        <v>1635</v>
      </c>
      <c r="F207" s="115"/>
      <c r="G207" s="361" t="s">
        <v>1636</v>
      </c>
      <c r="H207" s="115" t="s">
        <v>1637</v>
      </c>
      <c r="I207" s="115" t="s">
        <v>18</v>
      </c>
      <c r="J207" s="115" t="s">
        <v>51</v>
      </c>
      <c r="K207" s="115"/>
      <c r="L207" s="115" t="s">
        <v>1638</v>
      </c>
      <c r="M207" s="115"/>
      <c r="N207" s="128"/>
      <c r="O207" s="1027">
        <v>970</v>
      </c>
      <c r="P207" s="115"/>
      <c r="Q207" s="115" t="s">
        <v>1640</v>
      </c>
      <c r="R207" s="682">
        <v>1</v>
      </c>
      <c r="S207" s="361" t="s">
        <v>1343</v>
      </c>
      <c r="T207" s="361">
        <v>1</v>
      </c>
      <c r="U207" s="119">
        <v>250</v>
      </c>
      <c r="V207" s="120">
        <v>42716</v>
      </c>
      <c r="W207" s="115" t="s">
        <v>1641</v>
      </c>
      <c r="X207" s="115" t="s">
        <v>1217</v>
      </c>
      <c r="Y207" s="115"/>
      <c r="Z207" s="115"/>
    </row>
    <row r="208" spans="1:26" s="21" customFormat="1" ht="12" hidden="1" customHeight="1">
      <c r="A208" s="115" t="s">
        <v>1738</v>
      </c>
      <c r="B208" s="115" t="s">
        <v>1739</v>
      </c>
      <c r="C208" s="116">
        <v>42896</v>
      </c>
      <c r="D208" s="116">
        <v>42903</v>
      </c>
      <c r="E208" s="115" t="s">
        <v>1740</v>
      </c>
      <c r="F208" s="115"/>
      <c r="G208" s="361"/>
      <c r="H208" s="115" t="s">
        <v>1741</v>
      </c>
      <c r="I208" s="115" t="s">
        <v>18</v>
      </c>
      <c r="J208" s="115" t="s">
        <v>1023</v>
      </c>
      <c r="K208" s="115"/>
      <c r="L208" s="115" t="s">
        <v>1742</v>
      </c>
      <c r="M208" s="115"/>
      <c r="N208" s="8"/>
      <c r="O208" s="1033">
        <f>1090 + 3*3*7</f>
        <v>1153</v>
      </c>
      <c r="P208" s="115"/>
      <c r="Q208" s="115" t="s">
        <v>1744</v>
      </c>
      <c r="R208" s="682">
        <v>1</v>
      </c>
      <c r="S208" s="361">
        <v>3</v>
      </c>
      <c r="T208" s="361">
        <v>3</v>
      </c>
      <c r="U208" s="859">
        <v>288.25</v>
      </c>
      <c r="V208" s="115"/>
      <c r="W208" s="115" t="s">
        <v>1651</v>
      </c>
      <c r="X208" s="115"/>
      <c r="Y208" s="115"/>
      <c r="Z208" s="115"/>
    </row>
    <row r="209" spans="1:26" s="21" customFormat="1" ht="12" hidden="1" customHeight="1">
      <c r="A209" s="115" t="s">
        <v>1594</v>
      </c>
      <c r="B209" s="115" t="s">
        <v>1595</v>
      </c>
      <c r="C209" s="116">
        <v>42994</v>
      </c>
      <c r="D209" s="116">
        <v>43001</v>
      </c>
      <c r="E209" s="115"/>
      <c r="F209" s="115"/>
      <c r="G209" s="361"/>
      <c r="H209" s="115" t="s">
        <v>239</v>
      </c>
      <c r="I209" s="115" t="s">
        <v>18</v>
      </c>
      <c r="J209" s="115" t="s">
        <v>51</v>
      </c>
      <c r="K209" s="115"/>
      <c r="L209" s="115" t="s">
        <v>1617</v>
      </c>
      <c r="M209" s="115"/>
      <c r="N209" s="128"/>
      <c r="O209" s="1027">
        <v>700</v>
      </c>
      <c r="P209" s="115"/>
      <c r="Q209" s="115" t="s">
        <v>1618</v>
      </c>
      <c r="R209" s="682">
        <v>1</v>
      </c>
      <c r="S209" s="361" t="s">
        <v>1401</v>
      </c>
      <c r="T209" s="361">
        <v>1</v>
      </c>
      <c r="U209" s="119" t="s">
        <v>1721</v>
      </c>
      <c r="V209" s="115"/>
      <c r="W209" s="115"/>
      <c r="X209" s="115"/>
      <c r="Y209" s="115"/>
      <c r="Z209" s="115"/>
    </row>
    <row r="210" spans="1:26" s="21" customFormat="1" ht="12" hidden="1" customHeight="1">
      <c r="A210" s="115" t="s">
        <v>1810</v>
      </c>
      <c r="B210" s="115" t="s">
        <v>396</v>
      </c>
      <c r="C210" s="116">
        <v>43022</v>
      </c>
      <c r="D210" s="116">
        <v>43029</v>
      </c>
      <c r="E210" s="115" t="s">
        <v>1765</v>
      </c>
      <c r="F210" s="115"/>
      <c r="G210" s="361" t="s">
        <v>1766</v>
      </c>
      <c r="H210" s="115" t="s">
        <v>868</v>
      </c>
      <c r="I210" s="115" t="s">
        <v>18</v>
      </c>
      <c r="J210" s="115" t="s">
        <v>51</v>
      </c>
      <c r="K210" s="115"/>
      <c r="L210" s="115" t="s">
        <v>1767</v>
      </c>
      <c r="M210" s="115"/>
      <c r="N210" s="128"/>
      <c r="O210" s="1027">
        <f>690+80+70</f>
        <v>840</v>
      </c>
      <c r="P210" s="115"/>
      <c r="Q210" s="115" t="s">
        <v>1768</v>
      </c>
      <c r="R210" s="682">
        <v>1</v>
      </c>
      <c r="S210" s="361">
        <v>5</v>
      </c>
      <c r="T210" s="361">
        <v>1</v>
      </c>
      <c r="U210" s="119">
        <v>200</v>
      </c>
      <c r="V210" s="115">
        <v>42906</v>
      </c>
      <c r="W210" s="115" t="s">
        <v>1769</v>
      </c>
      <c r="X210" s="115" t="s">
        <v>1154</v>
      </c>
      <c r="Y210" s="115"/>
      <c r="Z210" s="115"/>
    </row>
    <row r="211" spans="1:26" s="21" customFormat="1" ht="12" hidden="1" customHeight="1">
      <c r="A211" s="115" t="s">
        <v>1669</v>
      </c>
      <c r="B211" s="115" t="s">
        <v>2201</v>
      </c>
      <c r="C211" s="116">
        <v>43617</v>
      </c>
      <c r="D211" s="116">
        <v>43624</v>
      </c>
      <c r="E211" s="115" t="s">
        <v>2202</v>
      </c>
      <c r="F211" s="115"/>
      <c r="G211" s="361" t="s">
        <v>2203</v>
      </c>
      <c r="H211" s="115" t="s">
        <v>2204</v>
      </c>
      <c r="I211" s="115" t="s">
        <v>18</v>
      </c>
      <c r="J211" s="115" t="s">
        <v>1023</v>
      </c>
      <c r="K211" s="115"/>
      <c r="L211" s="115" t="s">
        <v>2205</v>
      </c>
      <c r="M211" s="115"/>
      <c r="N211" s="363"/>
      <c r="O211" s="1027">
        <v>1090</v>
      </c>
      <c r="P211" s="115"/>
      <c r="Q211" s="115" t="s">
        <v>600</v>
      </c>
      <c r="R211" s="682">
        <v>1</v>
      </c>
      <c r="S211" s="361">
        <v>3</v>
      </c>
      <c r="T211" s="361">
        <v>1</v>
      </c>
      <c r="U211" s="119"/>
      <c r="V211" s="115">
        <v>43486</v>
      </c>
      <c r="W211" s="120" t="s">
        <v>2206</v>
      </c>
      <c r="X211" s="115" t="s">
        <v>1154</v>
      </c>
      <c r="Y211" s="115"/>
      <c r="Z211" s="115"/>
    </row>
    <row r="212" spans="1:26" s="21" customFormat="1" ht="12" hidden="1" customHeight="1">
      <c r="A212" s="355" t="s">
        <v>2026</v>
      </c>
      <c r="B212" s="355" t="s">
        <v>1953</v>
      </c>
      <c r="C212" s="357">
        <v>43624</v>
      </c>
      <c r="D212" s="357">
        <v>43638</v>
      </c>
      <c r="E212" s="355" t="s">
        <v>1954</v>
      </c>
      <c r="F212" s="355"/>
      <c r="G212" s="358" t="s">
        <v>1955</v>
      </c>
      <c r="H212" s="355" t="s">
        <v>1956</v>
      </c>
      <c r="I212" s="355" t="s">
        <v>18</v>
      </c>
      <c r="J212" s="355" t="s">
        <v>1023</v>
      </c>
      <c r="K212" s="355" t="s">
        <v>1957</v>
      </c>
      <c r="L212" s="355" t="s">
        <v>1958</v>
      </c>
      <c r="M212" s="355"/>
      <c r="N212" s="365"/>
      <c r="O212" s="1036">
        <f>1090+1190</f>
        <v>2280</v>
      </c>
      <c r="P212" s="355"/>
      <c r="Q212" s="355" t="s">
        <v>599</v>
      </c>
      <c r="R212" s="891">
        <v>2</v>
      </c>
      <c r="S212" s="358">
        <v>2</v>
      </c>
      <c r="T212" s="358">
        <v>2</v>
      </c>
      <c r="U212" s="356" t="s">
        <v>1960</v>
      </c>
      <c r="V212" s="360"/>
      <c r="W212" s="355"/>
      <c r="X212" s="355"/>
      <c r="Y212" s="355"/>
      <c r="Z212" s="355"/>
    </row>
    <row r="213" spans="1:26" s="21" customFormat="1" ht="12" hidden="1" customHeight="1">
      <c r="A213" s="8" t="s">
        <v>182</v>
      </c>
      <c r="B213" s="8" t="s">
        <v>181</v>
      </c>
      <c r="C213" s="33">
        <v>38514</v>
      </c>
      <c r="D213" s="33">
        <v>38535</v>
      </c>
      <c r="E213" s="8" t="s">
        <v>186</v>
      </c>
      <c r="F213" s="8"/>
      <c r="G213" s="132">
        <v>41470</v>
      </c>
      <c r="H213" s="8" t="s">
        <v>187</v>
      </c>
      <c r="I213" s="8" t="s">
        <v>18</v>
      </c>
      <c r="J213" s="8" t="s">
        <v>51</v>
      </c>
      <c r="K213" s="8" t="s">
        <v>184</v>
      </c>
      <c r="L213" s="8" t="s">
        <v>185</v>
      </c>
      <c r="M213" s="8"/>
      <c r="N213" s="49"/>
      <c r="O213" s="1014">
        <v>1800</v>
      </c>
      <c r="P213" s="8"/>
      <c r="Q213" s="8"/>
      <c r="R213" s="685">
        <v>3</v>
      </c>
      <c r="S213" s="132">
        <v>6</v>
      </c>
      <c r="T213" s="132"/>
      <c r="U213" s="13" t="s">
        <v>232</v>
      </c>
      <c r="V213" s="8"/>
      <c r="W213" s="8"/>
      <c r="X213" s="8"/>
      <c r="Y213" s="8"/>
      <c r="Z213" s="8"/>
    </row>
    <row r="214" spans="1:26" s="21" customFormat="1" ht="12" hidden="1" customHeight="1">
      <c r="A214" s="8" t="s">
        <v>290</v>
      </c>
      <c r="B214" s="8"/>
      <c r="C214" s="31">
        <v>38591</v>
      </c>
      <c r="D214" s="31">
        <v>38605</v>
      </c>
      <c r="E214" s="8" t="s">
        <v>291</v>
      </c>
      <c r="F214" s="8"/>
      <c r="G214" s="132">
        <v>66292</v>
      </c>
      <c r="H214" s="8" t="s">
        <v>292</v>
      </c>
      <c r="I214" s="8" t="s">
        <v>18</v>
      </c>
      <c r="J214" s="8" t="s">
        <v>51</v>
      </c>
      <c r="K214" s="8" t="s">
        <v>294</v>
      </c>
      <c r="L214" s="8" t="s">
        <v>295</v>
      </c>
      <c r="M214" s="8"/>
      <c r="N214" s="49"/>
      <c r="O214" s="1012">
        <v>1050</v>
      </c>
      <c r="P214" s="8"/>
      <c r="Q214" s="8" t="s">
        <v>312</v>
      </c>
      <c r="R214" s="685">
        <v>2</v>
      </c>
      <c r="S214" s="132">
        <v>2</v>
      </c>
      <c r="T214" s="132">
        <v>1</v>
      </c>
      <c r="U214" s="13" t="s">
        <v>232</v>
      </c>
      <c r="V214" s="8"/>
      <c r="W214" s="8"/>
      <c r="X214" s="8"/>
      <c r="Y214" s="8"/>
      <c r="Z214" s="8"/>
    </row>
    <row r="215" spans="1:26" s="21" customFormat="1" ht="12" hidden="1" customHeight="1">
      <c r="A215" s="115" t="s">
        <v>3290</v>
      </c>
      <c r="B215" s="115" t="s">
        <v>24</v>
      </c>
      <c r="C215" s="116">
        <v>45066</v>
      </c>
      <c r="D215" s="116">
        <v>45073</v>
      </c>
      <c r="E215" s="115" t="s">
        <v>3291</v>
      </c>
      <c r="F215" s="115"/>
      <c r="G215" s="361" t="s">
        <v>3292</v>
      </c>
      <c r="H215" s="115" t="s">
        <v>3293</v>
      </c>
      <c r="I215" s="115" t="s">
        <v>18</v>
      </c>
      <c r="J215" s="115" t="s">
        <v>3294</v>
      </c>
      <c r="K215" s="115" t="s">
        <v>3296</v>
      </c>
      <c r="L215" s="115" t="s">
        <v>3295</v>
      </c>
      <c r="M215" s="115"/>
      <c r="O215" s="1027">
        <f>1390</f>
        <v>1390</v>
      </c>
      <c r="P215" s="115"/>
      <c r="Q215" s="115" t="s">
        <v>3298</v>
      </c>
      <c r="R215" s="682">
        <v>1</v>
      </c>
      <c r="S215" s="361">
        <v>4</v>
      </c>
      <c r="T215" s="361">
        <v>2</v>
      </c>
      <c r="U215" s="119">
        <v>350</v>
      </c>
      <c r="V215" s="120">
        <v>44745</v>
      </c>
      <c r="W215" s="115" t="s">
        <v>1477</v>
      </c>
      <c r="X215" s="115" t="s">
        <v>1154</v>
      </c>
      <c r="Y215" s="115" t="s">
        <v>3304</v>
      </c>
      <c r="Z215" s="115"/>
    </row>
    <row r="216" spans="1:26" s="102" customFormat="1" ht="12" hidden="1" customHeight="1">
      <c r="A216" s="115" t="s">
        <v>1599</v>
      </c>
      <c r="B216" s="115" t="s">
        <v>228</v>
      </c>
      <c r="C216" s="116">
        <v>42602</v>
      </c>
      <c r="D216" s="116">
        <v>42609</v>
      </c>
      <c r="E216" s="115" t="s">
        <v>1604</v>
      </c>
      <c r="F216" s="115"/>
      <c r="G216" s="361" t="s">
        <v>1605</v>
      </c>
      <c r="H216" s="115" t="s">
        <v>1606</v>
      </c>
      <c r="I216" s="115" t="s">
        <v>36</v>
      </c>
      <c r="J216" s="115" t="s">
        <v>1600</v>
      </c>
      <c r="K216" s="115"/>
      <c r="L216" s="831" t="s">
        <v>1623</v>
      </c>
      <c r="M216" s="115"/>
      <c r="N216" s="128" t="s">
        <v>1727</v>
      </c>
      <c r="O216" s="1027">
        <v>1290</v>
      </c>
      <c r="P216" s="115"/>
      <c r="Q216" s="115" t="s">
        <v>1603</v>
      </c>
      <c r="R216" s="682">
        <v>1</v>
      </c>
      <c r="S216" s="361"/>
      <c r="T216" s="361"/>
      <c r="U216" s="119">
        <v>400</v>
      </c>
      <c r="V216" s="120"/>
      <c r="W216" s="115"/>
      <c r="X216" s="115"/>
      <c r="Y216" s="115"/>
      <c r="Z216" s="115"/>
    </row>
    <row r="217" spans="1:26" s="21" customFormat="1" ht="12" hidden="1" customHeight="1">
      <c r="A217" s="21" t="s">
        <v>423</v>
      </c>
      <c r="B217" s="21" t="s">
        <v>425</v>
      </c>
      <c r="C217" s="30">
        <v>39690</v>
      </c>
      <c r="D217" s="30">
        <v>39697</v>
      </c>
      <c r="E217" s="21" t="s">
        <v>426</v>
      </c>
      <c r="G217" s="764"/>
      <c r="I217" s="21" t="s">
        <v>429</v>
      </c>
      <c r="J217" s="21" t="s">
        <v>424</v>
      </c>
      <c r="K217" s="21" t="s">
        <v>428</v>
      </c>
      <c r="L217" s="21" t="s">
        <v>427</v>
      </c>
      <c r="N217" s="121" t="s">
        <v>3297</v>
      </c>
      <c r="O217" s="1013">
        <v>1200</v>
      </c>
      <c r="R217" s="876">
        <v>1</v>
      </c>
      <c r="S217" s="764">
        <v>7</v>
      </c>
      <c r="T217" s="764"/>
      <c r="U217" s="23">
        <v>300</v>
      </c>
    </row>
    <row r="218" spans="1:26" ht="12" hidden="1" customHeight="1">
      <c r="A218" s="8" t="s">
        <v>297</v>
      </c>
      <c r="B218" s="8" t="s">
        <v>298</v>
      </c>
      <c r="C218" s="31">
        <v>38549</v>
      </c>
      <c r="D218" s="31">
        <v>38563</v>
      </c>
      <c r="E218" s="8" t="s">
        <v>299</v>
      </c>
      <c r="G218" s="132">
        <v>54190</v>
      </c>
      <c r="H218" s="8" t="s">
        <v>300</v>
      </c>
      <c r="I218" s="8" t="s">
        <v>23</v>
      </c>
      <c r="J218" s="8" t="s">
        <v>19</v>
      </c>
      <c r="K218" s="8" t="s">
        <v>301</v>
      </c>
      <c r="N218" s="49" t="s">
        <v>302</v>
      </c>
      <c r="O218" s="1012">
        <v>1300</v>
      </c>
      <c r="R218" s="685">
        <v>2</v>
      </c>
      <c r="S218" s="132">
        <v>2</v>
      </c>
      <c r="T218" s="132">
        <v>1</v>
      </c>
      <c r="U218" s="13" t="s">
        <v>232</v>
      </c>
    </row>
    <row r="219" spans="1:26" ht="12" hidden="1" customHeight="1">
      <c r="A219" s="115" t="s">
        <v>1567</v>
      </c>
      <c r="B219" s="115" t="s">
        <v>1568</v>
      </c>
      <c r="C219" s="116">
        <v>42588</v>
      </c>
      <c r="D219" s="116">
        <v>42595</v>
      </c>
      <c r="E219" s="115" t="s">
        <v>1569</v>
      </c>
      <c r="F219" s="115"/>
      <c r="G219" s="361">
        <v>57310</v>
      </c>
      <c r="H219" s="115" t="s">
        <v>1570</v>
      </c>
      <c r="I219" s="115" t="s">
        <v>23</v>
      </c>
      <c r="J219" s="115" t="s">
        <v>19</v>
      </c>
      <c r="K219" s="115" t="s">
        <v>1571</v>
      </c>
      <c r="L219" s="115"/>
      <c r="M219" s="115"/>
      <c r="N219" s="128" t="s">
        <v>1690</v>
      </c>
      <c r="O219" s="1027">
        <v>1990</v>
      </c>
      <c r="P219" s="115"/>
      <c r="Q219" s="115" t="s">
        <v>1573</v>
      </c>
      <c r="R219" s="682">
        <v>1</v>
      </c>
      <c r="S219" s="361">
        <v>5</v>
      </c>
      <c r="T219" s="361"/>
      <c r="U219" s="119">
        <v>500</v>
      </c>
      <c r="V219" s="120">
        <v>42470</v>
      </c>
      <c r="W219" s="115" t="s">
        <v>1281</v>
      </c>
      <c r="X219" s="115" t="s">
        <v>1154</v>
      </c>
      <c r="Y219" s="115"/>
      <c r="Z219" s="115"/>
    </row>
    <row r="220" spans="1:26" ht="12" hidden="1" customHeight="1">
      <c r="A220" s="21" t="s">
        <v>1205</v>
      </c>
      <c r="B220" s="21" t="s">
        <v>1204</v>
      </c>
      <c r="C220" s="30">
        <v>41755</v>
      </c>
      <c r="D220" s="30">
        <v>41762</v>
      </c>
      <c r="E220" s="21"/>
      <c r="F220" s="21"/>
      <c r="G220" s="764"/>
      <c r="H220" s="21" t="s">
        <v>1206</v>
      </c>
      <c r="I220" s="21" t="s">
        <v>23</v>
      </c>
      <c r="J220" s="21" t="s">
        <v>19</v>
      </c>
      <c r="K220" s="21"/>
      <c r="L220" s="21" t="s">
        <v>1268</v>
      </c>
      <c r="M220" s="21"/>
      <c r="N220" s="50" t="s">
        <v>1203</v>
      </c>
      <c r="O220" s="1013">
        <v>790</v>
      </c>
      <c r="P220" s="21"/>
      <c r="Q220" s="21" t="s">
        <v>1207</v>
      </c>
      <c r="R220" s="876">
        <v>1</v>
      </c>
      <c r="S220" s="764" t="s">
        <v>1208</v>
      </c>
      <c r="T220" s="764">
        <v>1</v>
      </c>
      <c r="U220" s="75">
        <f>790/4</f>
        <v>197.5</v>
      </c>
      <c r="V220" s="78">
        <v>41615</v>
      </c>
      <c r="W220" s="21"/>
      <c r="X220" s="21" t="s">
        <v>1154</v>
      </c>
      <c r="Y220" s="21"/>
      <c r="Z220" s="21"/>
    </row>
    <row r="221" spans="1:26" ht="12" hidden="1" customHeight="1">
      <c r="A221" s="21" t="s">
        <v>541</v>
      </c>
      <c r="B221" s="21"/>
      <c r="C221" s="30">
        <v>40047</v>
      </c>
      <c r="D221" s="30">
        <v>40054</v>
      </c>
      <c r="E221" s="21" t="s">
        <v>542</v>
      </c>
      <c r="F221" s="21"/>
      <c r="G221" s="764">
        <v>4970</v>
      </c>
      <c r="H221" s="21" t="s">
        <v>543</v>
      </c>
      <c r="I221" s="21" t="s">
        <v>54</v>
      </c>
      <c r="J221" s="21" t="s">
        <v>19</v>
      </c>
      <c r="K221" s="21" t="s">
        <v>544</v>
      </c>
      <c r="L221" s="21" t="s">
        <v>545</v>
      </c>
      <c r="M221" s="21"/>
      <c r="N221" s="50" t="s">
        <v>546</v>
      </c>
      <c r="O221" s="1013">
        <f>1190+70</f>
        <v>1260</v>
      </c>
      <c r="P221" s="21"/>
      <c r="Q221" s="21" t="s">
        <v>547</v>
      </c>
      <c r="R221" s="876">
        <v>1</v>
      </c>
      <c r="S221" s="764">
        <v>4</v>
      </c>
      <c r="T221" s="764"/>
      <c r="U221" s="43">
        <v>300</v>
      </c>
      <c r="V221" s="21"/>
      <c r="W221" s="21"/>
      <c r="X221" s="21"/>
      <c r="Y221" s="21"/>
      <c r="Z221" s="21"/>
    </row>
    <row r="222" spans="1:26" ht="12" hidden="1" customHeight="1">
      <c r="A222" s="21" t="s">
        <v>1062</v>
      </c>
      <c r="B222" s="21" t="s">
        <v>1063</v>
      </c>
      <c r="C222" s="30">
        <v>42462</v>
      </c>
      <c r="D222" s="30">
        <v>42469</v>
      </c>
      <c r="E222" s="21" t="s">
        <v>1064</v>
      </c>
      <c r="F222" s="21"/>
      <c r="G222" s="764" t="s">
        <v>1065</v>
      </c>
      <c r="H222" s="21"/>
      <c r="I222" s="21" t="s">
        <v>54</v>
      </c>
      <c r="J222" s="21" t="s">
        <v>19</v>
      </c>
      <c r="K222" s="21" t="s">
        <v>1067</v>
      </c>
      <c r="L222" s="21" t="s">
        <v>1066</v>
      </c>
      <c r="M222" s="21"/>
      <c r="N222" s="835" t="s">
        <v>1743</v>
      </c>
      <c r="O222" s="1013">
        <f>U222*4+50</f>
        <v>840</v>
      </c>
      <c r="P222" s="21"/>
      <c r="Q222" s="21" t="s">
        <v>1183</v>
      </c>
      <c r="R222" s="876">
        <v>1</v>
      </c>
      <c r="S222" s="764" t="s">
        <v>1518</v>
      </c>
      <c r="T222" s="764">
        <v>1</v>
      </c>
      <c r="U222" s="75">
        <v>197.5</v>
      </c>
      <c r="V222" s="78" t="s">
        <v>1519</v>
      </c>
      <c r="W222" s="21" t="s">
        <v>1071</v>
      </c>
      <c r="X222" s="21" t="s">
        <v>1154</v>
      </c>
      <c r="Y222" s="21"/>
      <c r="Z222" s="21"/>
    </row>
    <row r="223" spans="1:26" ht="12" hidden="1" customHeight="1">
      <c r="A223" s="115" t="s">
        <v>2565</v>
      </c>
      <c r="B223" s="115" t="s">
        <v>2566</v>
      </c>
      <c r="C223" s="116">
        <v>44058</v>
      </c>
      <c r="D223" s="116">
        <v>44065</v>
      </c>
      <c r="E223" s="115" t="s">
        <v>2567</v>
      </c>
      <c r="F223" s="115"/>
      <c r="G223" s="361">
        <v>77176</v>
      </c>
      <c r="H223" s="364" t="s">
        <v>2313</v>
      </c>
      <c r="I223" s="115" t="s">
        <v>23</v>
      </c>
      <c r="J223" s="115" t="s">
        <v>2568</v>
      </c>
      <c r="K223" s="115" t="s">
        <v>2569</v>
      </c>
      <c r="L223" s="124" t="s">
        <v>2570</v>
      </c>
      <c r="M223" s="115"/>
      <c r="N223" s="128" t="s">
        <v>2571</v>
      </c>
      <c r="O223" s="1027">
        <v>1990</v>
      </c>
      <c r="P223" s="115"/>
      <c r="Q223" s="115" t="s">
        <v>2578</v>
      </c>
      <c r="R223" s="682">
        <v>1</v>
      </c>
      <c r="S223" s="361">
        <v>6</v>
      </c>
      <c r="T223" s="361">
        <v>1</v>
      </c>
      <c r="U223" s="119">
        <v>497.5</v>
      </c>
      <c r="V223" s="120">
        <v>43983</v>
      </c>
      <c r="W223" s="115" t="s">
        <v>1665</v>
      </c>
      <c r="X223" s="115" t="s">
        <v>1154</v>
      </c>
      <c r="Y223" s="115"/>
      <c r="Z223" s="115"/>
    </row>
    <row r="224" spans="1:26" ht="12" hidden="1" customHeight="1">
      <c r="A224" s="1265" t="s">
        <v>1913</v>
      </c>
      <c r="B224" s="757" t="s">
        <v>304</v>
      </c>
      <c r="C224" s="758">
        <v>43372</v>
      </c>
      <c r="D224" s="758">
        <v>43379</v>
      </c>
      <c r="E224" s="757" t="s">
        <v>1919</v>
      </c>
      <c r="F224" s="757"/>
      <c r="G224" s="759" t="s">
        <v>1914</v>
      </c>
      <c r="H224" s="896" t="s">
        <v>1918</v>
      </c>
      <c r="I224" s="757" t="s">
        <v>168</v>
      </c>
      <c r="J224" s="757" t="s">
        <v>19</v>
      </c>
      <c r="K224" s="760"/>
      <c r="L224" s="760" t="s">
        <v>1915</v>
      </c>
      <c r="M224" s="757"/>
      <c r="N224" s="897" t="s">
        <v>1916</v>
      </c>
      <c r="O224" s="1037"/>
      <c r="P224" s="757"/>
      <c r="Q224" s="757" t="s">
        <v>1917</v>
      </c>
      <c r="R224" s="898"/>
      <c r="S224" s="759">
        <v>2</v>
      </c>
      <c r="T224" s="759">
        <v>4</v>
      </c>
      <c r="U224" s="899" t="s">
        <v>1832</v>
      </c>
      <c r="V224" s="763">
        <v>43168</v>
      </c>
      <c r="W224" s="757" t="s">
        <v>1052</v>
      </c>
      <c r="X224" s="757" t="s">
        <v>1154</v>
      </c>
      <c r="Y224" s="757" t="s">
        <v>1921</v>
      </c>
      <c r="Z224" s="757"/>
    </row>
    <row r="225" spans="1:26" ht="12" hidden="1" customHeight="1">
      <c r="A225" s="21" t="s">
        <v>486</v>
      </c>
      <c r="B225" s="21" t="s">
        <v>487</v>
      </c>
      <c r="C225" s="30">
        <v>39900</v>
      </c>
      <c r="D225" s="30">
        <v>39907</v>
      </c>
      <c r="E225" s="21" t="s">
        <v>488</v>
      </c>
      <c r="F225" s="21"/>
      <c r="G225" s="764">
        <v>95130</v>
      </c>
      <c r="H225" s="21" t="s">
        <v>489</v>
      </c>
      <c r="I225" s="21" t="s">
        <v>23</v>
      </c>
      <c r="J225" s="21" t="s">
        <v>19</v>
      </c>
      <c r="K225" s="21" t="s">
        <v>490</v>
      </c>
      <c r="L225" s="21" t="s">
        <v>491</v>
      </c>
      <c r="M225" s="21"/>
      <c r="N225" s="992" t="s">
        <v>492</v>
      </c>
      <c r="O225" s="1348">
        <v>800</v>
      </c>
      <c r="P225" s="21"/>
      <c r="Q225" s="21"/>
      <c r="R225" s="876">
        <v>1</v>
      </c>
      <c r="S225" s="764">
        <v>4</v>
      </c>
      <c r="T225" s="764">
        <v>0</v>
      </c>
      <c r="U225" s="43">
        <v>200</v>
      </c>
      <c r="V225" s="21"/>
      <c r="W225" s="21"/>
      <c r="X225" s="21"/>
      <c r="Y225" s="21"/>
      <c r="Z225" s="21"/>
    </row>
    <row r="226" spans="1:26" ht="12" hidden="1" customHeight="1">
      <c r="A226" s="21" t="s">
        <v>486</v>
      </c>
      <c r="B226" s="21" t="s">
        <v>487</v>
      </c>
      <c r="C226" s="30">
        <v>40985</v>
      </c>
      <c r="D226" s="30">
        <v>40992</v>
      </c>
      <c r="E226" s="21" t="s">
        <v>488</v>
      </c>
      <c r="F226" s="21"/>
      <c r="G226" s="764">
        <v>95130</v>
      </c>
      <c r="H226" s="21" t="s">
        <v>489</v>
      </c>
      <c r="I226" s="21" t="s">
        <v>23</v>
      </c>
      <c r="J226" s="21" t="s">
        <v>19</v>
      </c>
      <c r="K226" s="21" t="s">
        <v>490</v>
      </c>
      <c r="L226" s="21" t="s">
        <v>491</v>
      </c>
      <c r="M226" s="21"/>
      <c r="N226" s="50" t="s">
        <v>492</v>
      </c>
      <c r="O226" s="1013">
        <v>690</v>
      </c>
      <c r="P226" s="21"/>
      <c r="Q226" s="21"/>
      <c r="R226" s="876">
        <v>1</v>
      </c>
      <c r="S226" s="764">
        <v>4</v>
      </c>
      <c r="T226" s="764">
        <v>0</v>
      </c>
      <c r="U226" s="75">
        <f>O226/4</f>
        <v>172.5</v>
      </c>
      <c r="V226" s="21"/>
      <c r="W226" s="21"/>
      <c r="X226" s="21"/>
      <c r="Y226" s="21"/>
      <c r="Z226" s="21"/>
    </row>
    <row r="227" spans="1:26" ht="12" hidden="1" customHeight="1">
      <c r="A227" s="355" t="s">
        <v>486</v>
      </c>
      <c r="B227" s="355" t="s">
        <v>1620</v>
      </c>
      <c r="C227" s="357">
        <v>43204</v>
      </c>
      <c r="D227" s="357">
        <v>43211</v>
      </c>
      <c r="E227" s="355" t="s">
        <v>488</v>
      </c>
      <c r="F227" s="355"/>
      <c r="G227" s="358">
        <v>95130</v>
      </c>
      <c r="H227" s="355" t="s">
        <v>489</v>
      </c>
      <c r="I227" s="355" t="s">
        <v>23</v>
      </c>
      <c r="J227" s="355" t="s">
        <v>19</v>
      </c>
      <c r="K227" s="355" t="s">
        <v>490</v>
      </c>
      <c r="L227" s="355" t="s">
        <v>491</v>
      </c>
      <c r="M227" s="355"/>
      <c r="N227" s="365" t="s">
        <v>492</v>
      </c>
      <c r="O227" s="1036">
        <v>790</v>
      </c>
      <c r="P227" s="355"/>
      <c r="Q227" s="355"/>
      <c r="R227" s="891">
        <v>1</v>
      </c>
      <c r="S227" s="358" t="s">
        <v>1809</v>
      </c>
      <c r="T227" s="358">
        <v>0</v>
      </c>
      <c r="U227" s="356" t="s">
        <v>1832</v>
      </c>
      <c r="V227" s="355">
        <v>43033</v>
      </c>
      <c r="W227" s="355" t="s">
        <v>1519</v>
      </c>
      <c r="X227" s="355" t="s">
        <v>1154</v>
      </c>
      <c r="Y227" s="355"/>
      <c r="Z227" s="355"/>
    </row>
    <row r="228" spans="1:26" ht="12" hidden="1" customHeight="1">
      <c r="A228" s="355" t="s">
        <v>486</v>
      </c>
      <c r="B228" s="355" t="s">
        <v>1620</v>
      </c>
      <c r="C228" s="357">
        <v>43407</v>
      </c>
      <c r="D228" s="357">
        <v>43414</v>
      </c>
      <c r="E228" s="355" t="s">
        <v>488</v>
      </c>
      <c r="F228" s="355"/>
      <c r="G228" s="358">
        <v>95130</v>
      </c>
      <c r="H228" s="355" t="s">
        <v>489</v>
      </c>
      <c r="I228" s="355" t="s">
        <v>23</v>
      </c>
      <c r="J228" s="355" t="s">
        <v>19</v>
      </c>
      <c r="K228" s="355" t="s">
        <v>490</v>
      </c>
      <c r="L228" s="355" t="s">
        <v>491</v>
      </c>
      <c r="M228" s="355"/>
      <c r="N228" s="365" t="s">
        <v>492</v>
      </c>
      <c r="O228" s="1036">
        <v>690</v>
      </c>
      <c r="P228" s="355"/>
      <c r="Q228" s="355"/>
      <c r="R228" s="891">
        <v>1</v>
      </c>
      <c r="S228" s="358" t="s">
        <v>1809</v>
      </c>
      <c r="T228" s="358">
        <v>0</v>
      </c>
      <c r="U228" s="356" t="s">
        <v>1832</v>
      </c>
      <c r="V228" s="355">
        <v>43033</v>
      </c>
      <c r="W228" s="355" t="s">
        <v>1519</v>
      </c>
      <c r="X228" s="355" t="s">
        <v>1154</v>
      </c>
      <c r="Y228" s="355"/>
      <c r="Z228" s="355"/>
    </row>
    <row r="229" spans="1:26" ht="12" hidden="1" customHeight="1">
      <c r="A229" s="355" t="s">
        <v>486</v>
      </c>
      <c r="B229" s="355" t="s">
        <v>1620</v>
      </c>
      <c r="C229" s="357">
        <v>43764</v>
      </c>
      <c r="D229" s="357">
        <v>43771</v>
      </c>
      <c r="E229" s="355" t="s">
        <v>488</v>
      </c>
      <c r="F229" s="355"/>
      <c r="G229" s="358">
        <v>95130</v>
      </c>
      <c r="H229" s="355" t="s">
        <v>489</v>
      </c>
      <c r="I229" s="355" t="s">
        <v>23</v>
      </c>
      <c r="J229" s="355" t="s">
        <v>19</v>
      </c>
      <c r="K229" s="355" t="s">
        <v>490</v>
      </c>
      <c r="L229" s="355" t="s">
        <v>491</v>
      </c>
      <c r="M229" s="355"/>
      <c r="N229" s="365" t="s">
        <v>492</v>
      </c>
      <c r="O229" s="1036">
        <v>690</v>
      </c>
      <c r="P229" s="355"/>
      <c r="Q229" s="355" t="s">
        <v>2345</v>
      </c>
      <c r="R229" s="891">
        <v>1</v>
      </c>
      <c r="S229" s="358" t="s">
        <v>1809</v>
      </c>
      <c r="T229" s="358">
        <v>0</v>
      </c>
      <c r="U229" s="356" t="s">
        <v>1832</v>
      </c>
      <c r="V229" s="355">
        <v>43033</v>
      </c>
      <c r="W229" s="355" t="s">
        <v>1519</v>
      </c>
      <c r="X229" s="355" t="s">
        <v>1154</v>
      </c>
      <c r="Y229" s="355"/>
      <c r="Z229" s="355"/>
    </row>
    <row r="230" spans="1:26" ht="12" hidden="1" customHeight="1">
      <c r="A230" s="21" t="s">
        <v>1166</v>
      </c>
      <c r="B230" s="21" t="s">
        <v>1167</v>
      </c>
      <c r="C230" s="30">
        <v>41548</v>
      </c>
      <c r="D230" s="30">
        <v>41552</v>
      </c>
      <c r="E230" s="21"/>
      <c r="F230" s="21"/>
      <c r="G230" s="764"/>
      <c r="H230" s="21"/>
      <c r="I230" s="21" t="s">
        <v>168</v>
      </c>
      <c r="J230" s="21" t="s">
        <v>19</v>
      </c>
      <c r="K230" s="21"/>
      <c r="L230" s="21"/>
      <c r="M230" s="21"/>
      <c r="N230" s="50" t="s">
        <v>1168</v>
      </c>
      <c r="O230" s="1013">
        <f>500+40</f>
        <v>540</v>
      </c>
      <c r="P230" s="21"/>
      <c r="Q230" s="21" t="s">
        <v>1025</v>
      </c>
      <c r="R230" s="876">
        <v>1</v>
      </c>
      <c r="S230" s="764" t="s">
        <v>1025</v>
      </c>
      <c r="T230" s="764">
        <v>1</v>
      </c>
      <c r="U230" s="75">
        <v>0</v>
      </c>
      <c r="V230" s="84">
        <v>41546</v>
      </c>
      <c r="W230" s="21" t="s">
        <v>1169</v>
      </c>
      <c r="X230" s="21"/>
      <c r="Y230" s="21"/>
      <c r="Z230" s="21"/>
    </row>
    <row r="231" spans="1:26" ht="12" hidden="1" customHeight="1">
      <c r="A231" s="505" t="s">
        <v>1687</v>
      </c>
      <c r="B231" s="115" t="s">
        <v>304</v>
      </c>
      <c r="C231" s="116">
        <v>42806</v>
      </c>
      <c r="D231" s="116">
        <v>42819</v>
      </c>
      <c r="E231" s="115" t="s">
        <v>1681</v>
      </c>
      <c r="F231" s="115"/>
      <c r="G231" s="361">
        <v>95230</v>
      </c>
      <c r="H231" s="115" t="s">
        <v>1682</v>
      </c>
      <c r="I231" s="115" t="s">
        <v>23</v>
      </c>
      <c r="J231" s="115" t="s">
        <v>19</v>
      </c>
      <c r="K231" s="115"/>
      <c r="L231" s="115" t="s">
        <v>1683</v>
      </c>
      <c r="M231" s="115"/>
      <c r="N231" s="128" t="s">
        <v>1684</v>
      </c>
      <c r="O231" s="1027">
        <f>690*2+42+70</f>
        <v>1492</v>
      </c>
      <c r="P231" s="115"/>
      <c r="Q231" s="115" t="s">
        <v>1685</v>
      </c>
      <c r="R231" s="682">
        <v>2</v>
      </c>
      <c r="S231" s="361">
        <v>2</v>
      </c>
      <c r="T231" s="361">
        <v>1</v>
      </c>
      <c r="U231" s="119">
        <v>355.5</v>
      </c>
      <c r="V231" s="120">
        <v>42778</v>
      </c>
      <c r="W231" s="115" t="s">
        <v>1686</v>
      </c>
      <c r="X231" s="115"/>
      <c r="Y231" s="115"/>
      <c r="Z231" s="115"/>
    </row>
    <row r="232" spans="1:26" ht="12" hidden="1" customHeight="1">
      <c r="A232" s="21" t="s">
        <v>942</v>
      </c>
      <c r="B232" s="21" t="s">
        <v>943</v>
      </c>
      <c r="C232" s="30">
        <v>41153</v>
      </c>
      <c r="D232" s="30">
        <v>41160</v>
      </c>
      <c r="E232" s="805"/>
      <c r="F232" s="21"/>
      <c r="G232" s="764"/>
      <c r="H232" s="21"/>
      <c r="I232" s="21" t="s">
        <v>944</v>
      </c>
      <c r="J232" s="21" t="s">
        <v>19</v>
      </c>
      <c r="K232" s="21"/>
      <c r="L232" s="21"/>
      <c r="M232" s="21"/>
      <c r="N232" s="50" t="s">
        <v>990</v>
      </c>
      <c r="O232" s="1013">
        <f>1290+70+5*3*7</f>
        <v>1465</v>
      </c>
      <c r="P232" s="21"/>
      <c r="Q232" s="21" t="s">
        <v>970</v>
      </c>
      <c r="R232" s="876">
        <v>1</v>
      </c>
      <c r="S232" s="764">
        <v>4</v>
      </c>
      <c r="T232" s="764">
        <v>5</v>
      </c>
      <c r="U232" s="75">
        <v>312.5</v>
      </c>
      <c r="V232" s="78"/>
      <c r="W232" s="21"/>
      <c r="X232" s="21"/>
      <c r="Y232" s="21"/>
      <c r="Z232" s="21"/>
    </row>
    <row r="233" spans="1:26" ht="12" hidden="1" customHeight="1">
      <c r="A233" s="21" t="s">
        <v>1276</v>
      </c>
      <c r="B233" s="21" t="s">
        <v>1277</v>
      </c>
      <c r="C233" s="30">
        <v>41867</v>
      </c>
      <c r="D233" s="30">
        <v>41874</v>
      </c>
      <c r="E233" s="21" t="s">
        <v>1282</v>
      </c>
      <c r="F233" s="21"/>
      <c r="G233" s="764">
        <v>95550</v>
      </c>
      <c r="H233" s="21" t="s">
        <v>1283</v>
      </c>
      <c r="I233" s="21" t="s">
        <v>23</v>
      </c>
      <c r="J233" s="21" t="s">
        <v>19</v>
      </c>
      <c r="K233" s="21"/>
      <c r="L233" s="21" t="s">
        <v>1284</v>
      </c>
      <c r="M233" s="21"/>
      <c r="N233" s="50" t="s">
        <v>1292</v>
      </c>
      <c r="O233" s="1013">
        <v>1350</v>
      </c>
      <c r="P233" s="21"/>
      <c r="Q233" s="21" t="s">
        <v>1278</v>
      </c>
      <c r="R233" s="876">
        <v>1</v>
      </c>
      <c r="S233" s="764" t="s">
        <v>1279</v>
      </c>
      <c r="T233" s="764">
        <v>0</v>
      </c>
      <c r="U233" s="75">
        <v>350</v>
      </c>
      <c r="V233" s="78" t="s">
        <v>1280</v>
      </c>
      <c r="W233" s="21" t="s">
        <v>1281</v>
      </c>
      <c r="X233" s="21" t="s">
        <v>1217</v>
      </c>
      <c r="Y233" s="21"/>
      <c r="Z233" s="21"/>
    </row>
    <row r="234" spans="1:26" ht="12" hidden="1" customHeight="1">
      <c r="A234" s="21" t="s">
        <v>729</v>
      </c>
      <c r="B234" s="21" t="s">
        <v>730</v>
      </c>
      <c r="C234" s="30">
        <v>40775</v>
      </c>
      <c r="D234" s="30">
        <v>40789</v>
      </c>
      <c r="E234" s="21" t="s">
        <v>732</v>
      </c>
      <c r="F234" s="21"/>
      <c r="G234" s="764">
        <v>54000</v>
      </c>
      <c r="H234" s="21" t="s">
        <v>733</v>
      </c>
      <c r="I234" s="21" t="s">
        <v>23</v>
      </c>
      <c r="J234" s="21" t="s">
        <v>19</v>
      </c>
      <c r="K234" s="21" t="s">
        <v>734</v>
      </c>
      <c r="L234" s="21" t="s">
        <v>735</v>
      </c>
      <c r="M234" s="21"/>
      <c r="N234" s="50" t="s">
        <v>731</v>
      </c>
      <c r="O234" s="1013">
        <f>1590+1390</f>
        <v>2980</v>
      </c>
      <c r="P234" s="21"/>
      <c r="Q234" s="21" t="s">
        <v>736</v>
      </c>
      <c r="R234" s="876">
        <v>2</v>
      </c>
      <c r="S234" s="764">
        <v>4</v>
      </c>
      <c r="T234" s="764"/>
      <c r="U234" s="23">
        <v>745</v>
      </c>
      <c r="V234" s="21"/>
      <c r="W234" s="21"/>
      <c r="X234" s="21"/>
      <c r="Y234" s="21"/>
      <c r="Z234" s="21"/>
    </row>
    <row r="235" spans="1:26" ht="12" hidden="1" customHeight="1">
      <c r="A235" s="21" t="s">
        <v>430</v>
      </c>
      <c r="B235" s="21" t="s">
        <v>431</v>
      </c>
      <c r="C235" s="30">
        <v>39583</v>
      </c>
      <c r="D235" s="30">
        <v>39592</v>
      </c>
      <c r="E235" s="21" t="s">
        <v>432</v>
      </c>
      <c r="F235" s="21"/>
      <c r="G235" s="764">
        <v>60380</v>
      </c>
      <c r="H235" s="21" t="s">
        <v>433</v>
      </c>
      <c r="I235" s="21" t="s">
        <v>23</v>
      </c>
      <c r="J235" s="21" t="s">
        <v>19</v>
      </c>
      <c r="K235" s="21" t="s">
        <v>435</v>
      </c>
      <c r="L235" s="21" t="s">
        <v>436</v>
      </c>
      <c r="M235" s="21"/>
      <c r="N235" s="50" t="s">
        <v>434</v>
      </c>
      <c r="O235" s="1013">
        <v>1100</v>
      </c>
      <c r="P235" s="21"/>
      <c r="Q235" s="21" t="s">
        <v>440</v>
      </c>
      <c r="R235" s="876">
        <v>1</v>
      </c>
      <c r="S235" s="764">
        <v>2</v>
      </c>
      <c r="T235" s="764">
        <v>1</v>
      </c>
      <c r="U235" s="36">
        <v>250</v>
      </c>
      <c r="V235" s="21"/>
      <c r="W235" s="21"/>
      <c r="X235" s="21"/>
      <c r="Y235" s="21"/>
      <c r="Z235" s="21"/>
    </row>
    <row r="236" spans="1:26" ht="12" hidden="1" customHeight="1">
      <c r="A236" s="67" t="s">
        <v>1002</v>
      </c>
      <c r="B236" s="67" t="s">
        <v>1003</v>
      </c>
      <c r="C236" s="68">
        <v>41266</v>
      </c>
      <c r="D236" s="68">
        <v>41273</v>
      </c>
      <c r="E236" s="67"/>
      <c r="F236" s="67"/>
      <c r="G236" s="803"/>
      <c r="H236" s="67"/>
      <c r="I236" s="67" t="s">
        <v>23</v>
      </c>
      <c r="J236" s="67" t="s">
        <v>19</v>
      </c>
      <c r="K236" s="67"/>
      <c r="L236" s="67"/>
      <c r="M236" s="67"/>
      <c r="N236" s="69" t="s">
        <v>1004</v>
      </c>
      <c r="O236" s="1023">
        <v>272.5</v>
      </c>
      <c r="P236" s="67"/>
      <c r="Q236" s="67"/>
      <c r="R236" s="883">
        <v>0</v>
      </c>
      <c r="S236" s="803"/>
      <c r="T236" s="803"/>
      <c r="U236" s="97">
        <v>272.5</v>
      </c>
      <c r="V236" s="94">
        <v>41190</v>
      </c>
      <c r="W236" s="67"/>
      <c r="X236" s="67"/>
      <c r="Y236" s="67"/>
      <c r="Z236" s="67"/>
    </row>
    <row r="237" spans="1:26" ht="12" hidden="1" customHeight="1">
      <c r="A237" s="21" t="s">
        <v>846</v>
      </c>
      <c r="B237" s="21" t="s">
        <v>847</v>
      </c>
      <c r="C237" s="30">
        <v>41055</v>
      </c>
      <c r="D237" s="30">
        <v>41062</v>
      </c>
      <c r="E237" s="21" t="s">
        <v>848</v>
      </c>
      <c r="F237" s="21"/>
      <c r="G237" s="764" t="s">
        <v>849</v>
      </c>
      <c r="H237" s="21" t="s">
        <v>850</v>
      </c>
      <c r="I237" s="21" t="s">
        <v>54</v>
      </c>
      <c r="J237" s="21" t="s">
        <v>19</v>
      </c>
      <c r="K237" s="21"/>
      <c r="L237" s="21" t="s">
        <v>851</v>
      </c>
      <c r="M237" s="21"/>
      <c r="N237" s="50" t="s">
        <v>852</v>
      </c>
      <c r="O237" s="1013">
        <f>890</f>
        <v>890</v>
      </c>
      <c r="P237" s="21"/>
      <c r="Q237" s="21" t="s">
        <v>853</v>
      </c>
      <c r="R237" s="876">
        <v>1</v>
      </c>
      <c r="S237" s="764">
        <v>6</v>
      </c>
      <c r="T237" s="764"/>
      <c r="U237" s="75">
        <v>250</v>
      </c>
      <c r="V237" s="78">
        <v>40940</v>
      </c>
      <c r="W237" s="21" t="s">
        <v>865</v>
      </c>
      <c r="X237" s="21"/>
      <c r="Y237" s="21"/>
      <c r="Z237" s="21"/>
    </row>
    <row r="238" spans="1:26" ht="12" hidden="1" customHeight="1">
      <c r="A238" s="21" t="s">
        <v>203</v>
      </c>
      <c r="B238" s="21" t="s">
        <v>202</v>
      </c>
      <c r="C238" s="30">
        <v>39627</v>
      </c>
      <c r="D238" s="30">
        <v>39634</v>
      </c>
      <c r="E238" s="21" t="s">
        <v>420</v>
      </c>
      <c r="F238" s="21"/>
      <c r="G238" s="764">
        <v>76440</v>
      </c>
      <c r="H238" s="21" t="s">
        <v>421</v>
      </c>
      <c r="I238" s="21" t="s">
        <v>23</v>
      </c>
      <c r="J238" s="21" t="s">
        <v>19</v>
      </c>
      <c r="K238" s="21" t="s">
        <v>403</v>
      </c>
      <c r="L238" s="21" t="s">
        <v>404</v>
      </c>
      <c r="M238" s="21"/>
      <c r="N238" s="51" t="s">
        <v>402</v>
      </c>
      <c r="O238" s="1013">
        <v>1300</v>
      </c>
      <c r="P238" s="21"/>
      <c r="Q238" s="21" t="s">
        <v>422</v>
      </c>
      <c r="R238" s="876">
        <v>1</v>
      </c>
      <c r="S238" s="764">
        <v>8</v>
      </c>
      <c r="T238" s="764">
        <v>1</v>
      </c>
      <c r="U238" s="23">
        <f>O238/4</f>
        <v>325</v>
      </c>
      <c r="V238" s="21"/>
      <c r="W238" s="21"/>
      <c r="X238" s="21"/>
      <c r="Y238" s="21"/>
      <c r="Z238" s="21"/>
    </row>
    <row r="239" spans="1:26" ht="12" hidden="1" customHeight="1">
      <c r="A239" s="21" t="s">
        <v>1062</v>
      </c>
      <c r="B239" s="21" t="s">
        <v>1063</v>
      </c>
      <c r="C239" s="30">
        <v>41440</v>
      </c>
      <c r="D239" s="30">
        <v>41452</v>
      </c>
      <c r="E239" s="21" t="s">
        <v>1064</v>
      </c>
      <c r="F239" s="21"/>
      <c r="G239" s="764" t="s">
        <v>1065</v>
      </c>
      <c r="H239" s="21"/>
      <c r="I239" s="21" t="s">
        <v>54</v>
      </c>
      <c r="J239" s="21" t="s">
        <v>19</v>
      </c>
      <c r="K239" s="21" t="s">
        <v>1067</v>
      </c>
      <c r="L239" s="21" t="s">
        <v>1066</v>
      </c>
      <c r="M239" s="21"/>
      <c r="N239" s="50" t="s">
        <v>1068</v>
      </c>
      <c r="O239" s="1013">
        <f>1190+3*12+810</f>
        <v>2036</v>
      </c>
      <c r="P239" s="21"/>
      <c r="Q239" s="21" t="s">
        <v>1069</v>
      </c>
      <c r="R239" s="876">
        <v>2</v>
      </c>
      <c r="S239" s="764" t="s">
        <v>1070</v>
      </c>
      <c r="T239" s="764">
        <v>1</v>
      </c>
      <c r="U239" s="1367">
        <f>O239/4</f>
        <v>509</v>
      </c>
      <c r="V239" s="78">
        <v>41302</v>
      </c>
      <c r="W239" s="21" t="s">
        <v>1071</v>
      </c>
      <c r="X239" s="21"/>
      <c r="Y239" s="21"/>
      <c r="Z239" s="21"/>
    </row>
    <row r="240" spans="1:26" ht="12" hidden="1" customHeight="1" thickBot="1">
      <c r="A240" s="21" t="s">
        <v>1062</v>
      </c>
      <c r="B240" s="21" t="s">
        <v>1063</v>
      </c>
      <c r="C240" s="30">
        <v>41874</v>
      </c>
      <c r="D240" s="30">
        <v>41888</v>
      </c>
      <c r="E240" s="21" t="s">
        <v>1064</v>
      </c>
      <c r="F240" s="21"/>
      <c r="G240" s="764" t="s">
        <v>1065</v>
      </c>
      <c r="H240" s="21"/>
      <c r="I240" s="21" t="s">
        <v>54</v>
      </c>
      <c r="J240" s="21" t="s">
        <v>19</v>
      </c>
      <c r="K240" s="21" t="s">
        <v>1067</v>
      </c>
      <c r="L240" s="21" t="s">
        <v>1066</v>
      </c>
      <c r="M240" s="21"/>
      <c r="N240" s="50" t="s">
        <v>1068</v>
      </c>
      <c r="O240" s="1013">
        <f>1590+1290</f>
        <v>2880</v>
      </c>
      <c r="P240" s="21"/>
      <c r="Q240" s="21" t="s">
        <v>1183</v>
      </c>
      <c r="R240" s="876">
        <v>2</v>
      </c>
      <c r="S240" s="764" t="s">
        <v>1070</v>
      </c>
      <c r="T240" s="764">
        <v>1</v>
      </c>
      <c r="U240" s="1367">
        <f>O240/4</f>
        <v>720</v>
      </c>
      <c r="V240" s="78">
        <v>41302</v>
      </c>
      <c r="W240" s="21" t="s">
        <v>1071</v>
      </c>
      <c r="X240" s="21"/>
      <c r="Y240" s="21"/>
      <c r="Z240" s="21"/>
    </row>
    <row r="241" spans="1:26" ht="12" hidden="1" customHeight="1" thickBot="1">
      <c r="A241" s="38" t="s">
        <v>1062</v>
      </c>
      <c r="B241" s="1269" t="s">
        <v>1063</v>
      </c>
      <c r="C241" s="30">
        <v>42231</v>
      </c>
      <c r="D241" s="1306">
        <v>42245</v>
      </c>
      <c r="E241" s="1269" t="s">
        <v>1064</v>
      </c>
      <c r="F241" s="21"/>
      <c r="G241" s="764" t="s">
        <v>1065</v>
      </c>
      <c r="H241" s="21"/>
      <c r="I241" s="21" t="s">
        <v>54</v>
      </c>
      <c r="J241" s="21" t="s">
        <v>19</v>
      </c>
      <c r="K241" s="21" t="s">
        <v>1067</v>
      </c>
      <c r="L241" s="21" t="s">
        <v>1066</v>
      </c>
      <c r="M241" s="21"/>
      <c r="N241" s="50" t="s">
        <v>1068</v>
      </c>
      <c r="O241" s="1013">
        <f>1790+1590</f>
        <v>3380</v>
      </c>
      <c r="P241" s="21"/>
      <c r="Q241" s="21" t="s">
        <v>1183</v>
      </c>
      <c r="R241" s="876">
        <v>2</v>
      </c>
      <c r="S241" s="764" t="s">
        <v>1070</v>
      </c>
      <c r="T241" s="764">
        <v>1</v>
      </c>
      <c r="U241" s="1367"/>
      <c r="V241" s="78">
        <v>42003</v>
      </c>
      <c r="W241" s="21" t="s">
        <v>1071</v>
      </c>
      <c r="X241" s="21" t="s">
        <v>1154</v>
      </c>
      <c r="Y241" s="21"/>
      <c r="Z241" s="21"/>
    </row>
    <row r="242" spans="1:26" ht="12" hidden="1" customHeight="1" thickBot="1">
      <c r="A242" s="511" t="s">
        <v>1062</v>
      </c>
      <c r="B242" s="535" t="s">
        <v>1063</v>
      </c>
      <c r="C242" s="548">
        <v>42833</v>
      </c>
      <c r="D242" s="561">
        <v>42840</v>
      </c>
      <c r="E242" s="543" t="s">
        <v>1064</v>
      </c>
      <c r="F242" s="115"/>
      <c r="G242" s="361" t="s">
        <v>1065</v>
      </c>
      <c r="H242" s="115" t="s">
        <v>54</v>
      </c>
      <c r="I242" s="115" t="s">
        <v>54</v>
      </c>
      <c r="J242" s="115" t="s">
        <v>19</v>
      </c>
      <c r="K242" s="115" t="s">
        <v>1067</v>
      </c>
      <c r="L242" s="115" t="s">
        <v>1066</v>
      </c>
      <c r="M242" s="115"/>
      <c r="N242" s="363" t="s">
        <v>1068</v>
      </c>
      <c r="O242" s="1027">
        <f>U242*4</f>
        <v>790</v>
      </c>
      <c r="P242" s="115"/>
      <c r="Q242" s="115" t="s">
        <v>1183</v>
      </c>
      <c r="R242" s="682">
        <v>1</v>
      </c>
      <c r="S242" s="361" t="s">
        <v>1518</v>
      </c>
      <c r="T242" s="361">
        <v>1</v>
      </c>
      <c r="U242" s="598">
        <v>197.5</v>
      </c>
      <c r="V242" s="120" t="s">
        <v>1519</v>
      </c>
      <c r="W242" s="115" t="s">
        <v>1071</v>
      </c>
      <c r="X242" s="115" t="s">
        <v>1154</v>
      </c>
      <c r="Y242" s="115"/>
      <c r="Z242" s="115"/>
    </row>
    <row r="243" spans="1:26" ht="12" hidden="1" customHeight="1" thickBot="1">
      <c r="A243" s="355" t="s">
        <v>1062</v>
      </c>
      <c r="B243" s="355" t="s">
        <v>1063</v>
      </c>
      <c r="C243" s="357">
        <v>43239</v>
      </c>
      <c r="D243" s="565">
        <v>43246</v>
      </c>
      <c r="E243" s="576" t="s">
        <v>1064</v>
      </c>
      <c r="F243" s="355"/>
      <c r="G243" s="358" t="s">
        <v>1065</v>
      </c>
      <c r="H243" s="355" t="s">
        <v>54</v>
      </c>
      <c r="I243" s="355" t="s">
        <v>54</v>
      </c>
      <c r="J243" s="355" t="s">
        <v>19</v>
      </c>
      <c r="K243" s="355" t="s">
        <v>1067</v>
      </c>
      <c r="L243" s="355" t="s">
        <v>1066</v>
      </c>
      <c r="M243" s="355"/>
      <c r="N243" s="362" t="s">
        <v>1068</v>
      </c>
      <c r="O243" s="1036">
        <v>990</v>
      </c>
      <c r="P243" s="355"/>
      <c r="Q243" s="355" t="s">
        <v>1808</v>
      </c>
      <c r="R243" s="891">
        <v>1</v>
      </c>
      <c r="S243" s="358" t="s">
        <v>1518</v>
      </c>
      <c r="T243" s="358">
        <v>1</v>
      </c>
      <c r="U243" s="478" t="s">
        <v>1832</v>
      </c>
      <c r="V243" s="360">
        <v>43041</v>
      </c>
      <c r="W243" s="355" t="s">
        <v>1519</v>
      </c>
      <c r="X243" s="355" t="s">
        <v>1154</v>
      </c>
      <c r="Y243" s="355"/>
      <c r="Z243" s="355"/>
    </row>
    <row r="244" spans="1:26" ht="12" hidden="1" customHeight="1" thickBot="1">
      <c r="A244" s="618" t="s">
        <v>1062</v>
      </c>
      <c r="B244" s="633" t="s">
        <v>1063</v>
      </c>
      <c r="C244" s="357">
        <v>43610</v>
      </c>
      <c r="D244" s="565">
        <v>43617</v>
      </c>
      <c r="E244" s="576" t="s">
        <v>1064</v>
      </c>
      <c r="F244" s="355"/>
      <c r="G244" s="358" t="s">
        <v>1065</v>
      </c>
      <c r="H244" s="355" t="s">
        <v>54</v>
      </c>
      <c r="I244" s="355" t="s">
        <v>54</v>
      </c>
      <c r="J244" s="355" t="s">
        <v>19</v>
      </c>
      <c r="K244" s="355" t="s">
        <v>1067</v>
      </c>
      <c r="L244" s="355" t="s">
        <v>1066</v>
      </c>
      <c r="M244" s="355"/>
      <c r="N244" s="362" t="s">
        <v>1068</v>
      </c>
      <c r="O244" s="1036">
        <v>1090</v>
      </c>
      <c r="P244" s="355"/>
      <c r="Q244" s="355" t="s">
        <v>1808</v>
      </c>
      <c r="R244" s="891">
        <v>1</v>
      </c>
      <c r="S244" s="358" t="s">
        <v>1518</v>
      </c>
      <c r="T244" s="358">
        <v>1</v>
      </c>
      <c r="U244" s="478" t="s">
        <v>1832</v>
      </c>
      <c r="V244" s="360">
        <v>43041</v>
      </c>
      <c r="W244" s="355" t="s">
        <v>1519</v>
      </c>
      <c r="X244" s="355" t="s">
        <v>1154</v>
      </c>
      <c r="Y244" s="355"/>
      <c r="Z244" s="355"/>
    </row>
    <row r="245" spans="1:26" ht="12" hidden="1" customHeight="1" thickBot="1">
      <c r="A245" s="1136" t="s">
        <v>2959</v>
      </c>
      <c r="B245" s="1136" t="s">
        <v>2958</v>
      </c>
      <c r="C245" s="1137">
        <v>44793</v>
      </c>
      <c r="D245" s="1315">
        <v>44807</v>
      </c>
      <c r="E245" s="1334" t="s">
        <v>1064</v>
      </c>
      <c r="F245" s="1136"/>
      <c r="G245" s="1139" t="s">
        <v>1065</v>
      </c>
      <c r="H245" s="1136" t="s">
        <v>54</v>
      </c>
      <c r="I245" s="1136" t="s">
        <v>54</v>
      </c>
      <c r="J245" s="1136" t="s">
        <v>19</v>
      </c>
      <c r="K245" s="1136" t="s">
        <v>1067</v>
      </c>
      <c r="L245" s="1136" t="s">
        <v>1066</v>
      </c>
      <c r="M245" s="1136"/>
      <c r="N245" s="1198" t="s">
        <v>1068</v>
      </c>
      <c r="O245" s="1141">
        <f>1990*2+70</f>
        <v>4050</v>
      </c>
      <c r="P245" s="1136"/>
      <c r="Q245" s="1136" t="s">
        <v>1808</v>
      </c>
      <c r="R245" s="1142">
        <v>2</v>
      </c>
      <c r="S245" s="1139"/>
      <c r="T245" s="1139">
        <v>1</v>
      </c>
      <c r="U245" s="1366">
        <v>995</v>
      </c>
      <c r="V245" s="1199">
        <v>43041</v>
      </c>
      <c r="W245" s="1136" t="s">
        <v>1519</v>
      </c>
      <c r="X245" s="1136" t="s">
        <v>1154</v>
      </c>
      <c r="Y245" s="1136"/>
      <c r="Z245" s="1136"/>
    </row>
    <row r="246" spans="1:26" ht="12" hidden="1" customHeight="1" thickBot="1">
      <c r="A246" s="517" t="s">
        <v>2753</v>
      </c>
      <c r="B246" s="539" t="s">
        <v>266</v>
      </c>
      <c r="C246" s="116">
        <v>44128</v>
      </c>
      <c r="D246" s="568">
        <v>44135</v>
      </c>
      <c r="E246" s="535" t="s">
        <v>2754</v>
      </c>
      <c r="F246" s="115"/>
      <c r="G246" s="361">
        <v>60300</v>
      </c>
      <c r="H246" s="115" t="s">
        <v>2755</v>
      </c>
      <c r="I246" s="115" t="s">
        <v>983</v>
      </c>
      <c r="J246" s="115" t="s">
        <v>19</v>
      </c>
      <c r="K246" s="115"/>
      <c r="L246" s="115" t="s">
        <v>2756</v>
      </c>
      <c r="M246" s="115"/>
      <c r="N246" s="128" t="s">
        <v>2757</v>
      </c>
      <c r="O246" s="1027">
        <v>990</v>
      </c>
      <c r="P246" s="115"/>
      <c r="Q246" s="115" t="s">
        <v>2758</v>
      </c>
      <c r="R246" s="682">
        <v>1</v>
      </c>
      <c r="S246" s="361">
        <v>5</v>
      </c>
      <c r="T246" s="361">
        <v>1</v>
      </c>
      <c r="U246" s="598">
        <v>0</v>
      </c>
      <c r="V246" s="120">
        <v>44125</v>
      </c>
      <c r="W246" s="115" t="s">
        <v>1543</v>
      </c>
      <c r="X246" s="115" t="s">
        <v>1154</v>
      </c>
      <c r="Y246" s="115"/>
      <c r="Z246" s="115"/>
    </row>
    <row r="247" spans="1:26" ht="12" hidden="1" customHeight="1" thickBot="1">
      <c r="A247" s="56" t="s">
        <v>1340</v>
      </c>
      <c r="B247" s="1271" t="s">
        <v>1341</v>
      </c>
      <c r="C247" s="30">
        <v>42119</v>
      </c>
      <c r="D247" s="1319">
        <v>42126</v>
      </c>
      <c r="E247" s="1271" t="s">
        <v>1370</v>
      </c>
      <c r="F247" s="21"/>
      <c r="G247" s="764">
        <v>80560</v>
      </c>
      <c r="H247" s="21" t="s">
        <v>1371</v>
      </c>
      <c r="I247" s="21" t="s">
        <v>23</v>
      </c>
      <c r="J247" s="21" t="s">
        <v>19</v>
      </c>
      <c r="K247" s="21" t="s">
        <v>1373</v>
      </c>
      <c r="L247" s="21" t="s">
        <v>1372</v>
      </c>
      <c r="M247" s="21"/>
      <c r="N247" s="50" t="s">
        <v>1342</v>
      </c>
      <c r="O247" s="1013">
        <v>790</v>
      </c>
      <c r="P247" s="21"/>
      <c r="Q247" s="21" t="s">
        <v>1343</v>
      </c>
      <c r="R247" s="876">
        <v>1</v>
      </c>
      <c r="S247" s="764" t="s">
        <v>1374</v>
      </c>
      <c r="T247" s="764">
        <v>0</v>
      </c>
      <c r="U247" s="1367">
        <v>197.5</v>
      </c>
      <c r="V247" s="78">
        <v>42333</v>
      </c>
      <c r="W247" s="21" t="s">
        <v>1281</v>
      </c>
      <c r="X247" s="21" t="s">
        <v>1154</v>
      </c>
      <c r="Y247" s="21"/>
      <c r="Z247" s="21"/>
    </row>
    <row r="248" spans="1:26" ht="12" hidden="1" customHeight="1" thickBot="1">
      <c r="A248" s="56" t="s">
        <v>827</v>
      </c>
      <c r="B248" s="57" t="s">
        <v>99</v>
      </c>
      <c r="C248" s="58">
        <v>41020</v>
      </c>
      <c r="D248" s="58">
        <v>41027</v>
      </c>
      <c r="E248" s="57" t="s">
        <v>831</v>
      </c>
      <c r="F248" s="57"/>
      <c r="G248" s="795">
        <v>6700</v>
      </c>
      <c r="H248" s="57" t="s">
        <v>832</v>
      </c>
      <c r="I248" s="57" t="s">
        <v>23</v>
      </c>
      <c r="J248" s="57" t="s">
        <v>19</v>
      </c>
      <c r="K248" s="57" t="s">
        <v>833</v>
      </c>
      <c r="L248" s="57" t="s">
        <v>834</v>
      </c>
      <c r="M248" s="57"/>
      <c r="N248" s="112" t="s">
        <v>928</v>
      </c>
      <c r="O248" s="1021">
        <v>790</v>
      </c>
      <c r="P248" s="57"/>
      <c r="Q248" s="57" t="s">
        <v>828</v>
      </c>
      <c r="R248" s="881">
        <v>1</v>
      </c>
      <c r="S248" s="795">
        <v>6</v>
      </c>
      <c r="T248" s="795">
        <v>0</v>
      </c>
      <c r="U248" s="113">
        <v>200</v>
      </c>
      <c r="V248" s="21"/>
      <c r="W248" s="21"/>
      <c r="X248" s="21"/>
      <c r="Y248" s="21"/>
      <c r="Z248" s="21"/>
    </row>
    <row r="249" spans="1:26" ht="12" hidden="1" customHeight="1">
      <c r="A249" s="21" t="s">
        <v>722</v>
      </c>
      <c r="B249" s="21" t="s">
        <v>723</v>
      </c>
      <c r="C249" s="30">
        <v>40754</v>
      </c>
      <c r="D249" s="30">
        <v>40761</v>
      </c>
      <c r="E249" s="21" t="s">
        <v>724</v>
      </c>
      <c r="F249" s="21"/>
      <c r="G249" s="764">
        <v>8597</v>
      </c>
      <c r="H249" s="21" t="s">
        <v>725</v>
      </c>
      <c r="I249" s="21" t="s">
        <v>168</v>
      </c>
      <c r="J249" s="21" t="s">
        <v>19</v>
      </c>
      <c r="K249" s="21"/>
      <c r="L249" s="21" t="s">
        <v>726</v>
      </c>
      <c r="M249" s="21"/>
      <c r="N249" s="50" t="s">
        <v>727</v>
      </c>
      <c r="O249" s="1013">
        <f>2000+70+20</f>
        <v>2090</v>
      </c>
      <c r="P249" s="21"/>
      <c r="Q249" s="21" t="s">
        <v>728</v>
      </c>
      <c r="R249" s="876">
        <v>1</v>
      </c>
      <c r="S249" s="764">
        <v>4</v>
      </c>
      <c r="T249" s="764">
        <v>1</v>
      </c>
      <c r="U249" s="1364">
        <v>500</v>
      </c>
      <c r="V249" s="21"/>
      <c r="W249" s="21"/>
      <c r="X249" s="21"/>
      <c r="Y249" s="21"/>
      <c r="Z249" s="21"/>
    </row>
    <row r="250" spans="1:26" ht="12" hidden="1" customHeight="1">
      <c r="A250" s="67" t="s">
        <v>793</v>
      </c>
      <c r="B250" s="67" t="s">
        <v>794</v>
      </c>
      <c r="C250" s="68">
        <v>40852</v>
      </c>
      <c r="D250" s="68">
        <v>40859</v>
      </c>
      <c r="E250" s="67" t="s">
        <v>795</v>
      </c>
      <c r="F250" s="67"/>
      <c r="G250" s="803" t="s">
        <v>796</v>
      </c>
      <c r="H250" s="67" t="s">
        <v>797</v>
      </c>
      <c r="I250" s="67" t="s">
        <v>168</v>
      </c>
      <c r="J250" s="67" t="s">
        <v>19</v>
      </c>
      <c r="K250" s="67" t="s">
        <v>798</v>
      </c>
      <c r="L250" s="67" t="s">
        <v>799</v>
      </c>
      <c r="M250" s="67"/>
      <c r="N250" s="69" t="s">
        <v>800</v>
      </c>
      <c r="O250" s="1023">
        <f>690</f>
        <v>690</v>
      </c>
      <c r="P250" s="67"/>
      <c r="Q250" s="67" t="s">
        <v>199</v>
      </c>
      <c r="R250" s="883">
        <v>1</v>
      </c>
      <c r="S250" s="803">
        <v>2</v>
      </c>
      <c r="T250" s="803"/>
      <c r="U250" s="70">
        <v>180</v>
      </c>
      <c r="V250" s="67"/>
      <c r="W250" s="67"/>
      <c r="X250" s="67"/>
      <c r="Y250" s="67"/>
      <c r="Z250" s="67"/>
    </row>
    <row r="251" spans="1:26" ht="12" hidden="1" customHeight="1">
      <c r="A251" s="21" t="s">
        <v>1097</v>
      </c>
      <c r="B251" s="21" t="s">
        <v>1098</v>
      </c>
      <c r="C251" s="30">
        <v>41482</v>
      </c>
      <c r="D251" s="30">
        <v>41489</v>
      </c>
      <c r="E251" s="21" t="s">
        <v>1102</v>
      </c>
      <c r="F251" s="21"/>
      <c r="G251" s="764" t="s">
        <v>1103</v>
      </c>
      <c r="H251" s="21" t="s">
        <v>1104</v>
      </c>
      <c r="I251" s="21" t="s">
        <v>36</v>
      </c>
      <c r="J251" s="21" t="s">
        <v>19</v>
      </c>
      <c r="K251" s="21" t="s">
        <v>1105</v>
      </c>
      <c r="L251" s="21" t="s">
        <v>2592</v>
      </c>
      <c r="M251" s="21"/>
      <c r="N251" s="50" t="s">
        <v>1099</v>
      </c>
      <c r="O251" s="1013">
        <v>1990</v>
      </c>
      <c r="P251" s="21"/>
      <c r="Q251" s="21" t="s">
        <v>1101</v>
      </c>
      <c r="R251" s="876">
        <v>1</v>
      </c>
      <c r="S251" s="764">
        <v>3</v>
      </c>
      <c r="T251" s="764">
        <v>0</v>
      </c>
      <c r="U251" s="75">
        <v>500</v>
      </c>
      <c r="V251" s="84">
        <v>41331</v>
      </c>
      <c r="W251" s="21" t="s">
        <v>1081</v>
      </c>
      <c r="X251" s="21"/>
      <c r="Y251" s="21"/>
      <c r="Z251" s="21"/>
    </row>
    <row r="252" spans="1:26" s="21" customFormat="1" ht="12" hidden="1" customHeight="1">
      <c r="A252" s="115" t="s">
        <v>1526</v>
      </c>
      <c r="B252" s="115" t="s">
        <v>1527</v>
      </c>
      <c r="C252" s="116">
        <v>42476</v>
      </c>
      <c r="D252" s="116">
        <v>42483</v>
      </c>
      <c r="E252" s="115" t="s">
        <v>1528</v>
      </c>
      <c r="F252" s="115"/>
      <c r="G252" s="361">
        <v>89210</v>
      </c>
      <c r="H252" s="115" t="s">
        <v>1529</v>
      </c>
      <c r="I252" s="115" t="s">
        <v>23</v>
      </c>
      <c r="J252" s="115" t="s">
        <v>19</v>
      </c>
      <c r="K252" s="115" t="s">
        <v>1530</v>
      </c>
      <c r="L252" s="115" t="s">
        <v>1531</v>
      </c>
      <c r="M252" s="115"/>
      <c r="N252" s="128" t="s">
        <v>1735</v>
      </c>
      <c r="O252" s="1027">
        <f>790+21</f>
        <v>811</v>
      </c>
      <c r="P252" s="115"/>
      <c r="Q252" s="115" t="s">
        <v>1401</v>
      </c>
      <c r="R252" s="682">
        <v>1</v>
      </c>
      <c r="S252" s="361" t="s">
        <v>1533</v>
      </c>
      <c r="T252" s="361">
        <v>1</v>
      </c>
      <c r="U252" s="119">
        <v>197.5</v>
      </c>
      <c r="V252" s="120"/>
      <c r="W252" s="115" t="s">
        <v>1281</v>
      </c>
      <c r="X252" s="115"/>
      <c r="Y252" s="115"/>
      <c r="Z252" s="115"/>
    </row>
    <row r="253" spans="1:26" s="21" customFormat="1" ht="12" hidden="1" customHeight="1">
      <c r="A253" s="21" t="s">
        <v>823</v>
      </c>
      <c r="B253" s="21" t="s">
        <v>388</v>
      </c>
      <c r="C253" s="30">
        <v>41027</v>
      </c>
      <c r="D253" s="30">
        <v>41034</v>
      </c>
      <c r="G253" s="764"/>
      <c r="I253" s="21" t="s">
        <v>36</v>
      </c>
      <c r="J253" s="21" t="s">
        <v>19</v>
      </c>
      <c r="L253" s="21" t="s">
        <v>837</v>
      </c>
      <c r="N253" s="50" t="s">
        <v>825</v>
      </c>
      <c r="O253" s="1013">
        <f>790+42+70</f>
        <v>902</v>
      </c>
      <c r="Q253" s="21" t="s">
        <v>824</v>
      </c>
      <c r="R253" s="876">
        <v>1</v>
      </c>
      <c r="S253" s="764">
        <v>4</v>
      </c>
      <c r="T253" s="764">
        <v>2</v>
      </c>
      <c r="U253" s="75">
        <v>200</v>
      </c>
      <c r="W253" s="21" t="s">
        <v>824</v>
      </c>
    </row>
    <row r="254" spans="1:26" s="21" customFormat="1" ht="12" hidden="1" customHeight="1">
      <c r="A254" s="408" t="s">
        <v>1624</v>
      </c>
      <c r="B254" s="408" t="s">
        <v>1625</v>
      </c>
      <c r="C254" s="409">
        <v>42727</v>
      </c>
      <c r="D254" s="409">
        <v>42734</v>
      </c>
      <c r="E254" s="408" t="s">
        <v>1626</v>
      </c>
      <c r="F254" s="408"/>
      <c r="G254" s="410">
        <v>49220</v>
      </c>
      <c r="H254" s="408" t="s">
        <v>1627</v>
      </c>
      <c r="I254" s="408" t="s">
        <v>23</v>
      </c>
      <c r="J254" s="408" t="s">
        <v>19</v>
      </c>
      <c r="K254" s="408"/>
      <c r="L254" s="408" t="s">
        <v>1628</v>
      </c>
      <c r="M254" s="408"/>
      <c r="N254" s="128" t="s">
        <v>1785</v>
      </c>
      <c r="O254" s="1031">
        <v>272.5</v>
      </c>
      <c r="P254" s="408"/>
      <c r="Q254" s="408" t="s">
        <v>1025</v>
      </c>
      <c r="R254" s="889">
        <v>0</v>
      </c>
      <c r="S254" s="410" t="s">
        <v>199</v>
      </c>
      <c r="T254" s="410">
        <v>1</v>
      </c>
      <c r="U254" s="596">
        <f>1090/4</f>
        <v>272.5</v>
      </c>
      <c r="V254" s="416"/>
      <c r="W254" s="408"/>
      <c r="X254" s="408"/>
      <c r="Y254" s="408"/>
      <c r="Z254" s="408"/>
    </row>
    <row r="255" spans="1:26" s="21" customFormat="1" ht="12" hidden="1" customHeight="1">
      <c r="A255" s="21" t="s">
        <v>477</v>
      </c>
      <c r="B255" s="21" t="s">
        <v>484</v>
      </c>
      <c r="C255" s="30">
        <v>40026</v>
      </c>
      <c r="D255" s="30">
        <v>40040</v>
      </c>
      <c r="E255" s="21" t="s">
        <v>478</v>
      </c>
      <c r="G255" s="764">
        <v>81245</v>
      </c>
      <c r="H255" s="21" t="s">
        <v>479</v>
      </c>
      <c r="I255" s="21" t="s">
        <v>18</v>
      </c>
      <c r="J255" s="21" t="s">
        <v>19</v>
      </c>
      <c r="K255" s="21" t="s">
        <v>481</v>
      </c>
      <c r="L255" s="21" t="s">
        <v>480</v>
      </c>
      <c r="N255" s="50" t="s">
        <v>482</v>
      </c>
      <c r="O255" s="1013">
        <v>3070</v>
      </c>
      <c r="Q255" s="21" t="s">
        <v>483</v>
      </c>
      <c r="R255" s="876">
        <v>2</v>
      </c>
      <c r="S255" s="764">
        <v>6</v>
      </c>
      <c r="T255" s="764"/>
      <c r="U255" s="43">
        <v>750</v>
      </c>
    </row>
    <row r="256" spans="1:26" s="21" customFormat="1" ht="12" hidden="1" customHeight="1">
      <c r="A256" s="61" t="s">
        <v>700</v>
      </c>
      <c r="B256" s="61" t="s">
        <v>95</v>
      </c>
      <c r="C256" s="62">
        <v>40593</v>
      </c>
      <c r="D256" s="62">
        <v>40600</v>
      </c>
      <c r="E256" s="61" t="s">
        <v>701</v>
      </c>
      <c r="F256" s="61"/>
      <c r="G256" s="802">
        <v>28410</v>
      </c>
      <c r="H256" s="61" t="s">
        <v>702</v>
      </c>
      <c r="I256" s="61" t="s">
        <v>23</v>
      </c>
      <c r="J256" s="61" t="s">
        <v>19</v>
      </c>
      <c r="K256" s="61" t="s">
        <v>703</v>
      </c>
      <c r="L256" s="61" t="s">
        <v>703</v>
      </c>
      <c r="M256" s="61"/>
      <c r="N256" s="63" t="s">
        <v>704</v>
      </c>
      <c r="O256" s="1022">
        <v>790</v>
      </c>
      <c r="P256" s="61"/>
      <c r="Q256" s="61" t="s">
        <v>705</v>
      </c>
      <c r="R256" s="882">
        <v>1</v>
      </c>
      <c r="S256" s="802">
        <v>4</v>
      </c>
      <c r="T256" s="802">
        <v>0</v>
      </c>
      <c r="U256" s="65">
        <v>400</v>
      </c>
      <c r="V256" s="61"/>
      <c r="W256" s="61"/>
      <c r="X256" s="61"/>
      <c r="Y256" s="61"/>
      <c r="Z256" s="61"/>
    </row>
    <row r="257" spans="1:26" s="21" customFormat="1" ht="12" hidden="1" customHeight="1">
      <c r="A257" s="8" t="s">
        <v>202</v>
      </c>
      <c r="B257" s="8" t="s">
        <v>357</v>
      </c>
      <c r="C257" s="33">
        <v>38479</v>
      </c>
      <c r="D257" s="33">
        <v>38486</v>
      </c>
      <c r="E257" s="8"/>
      <c r="F257" s="8"/>
      <c r="G257" s="132"/>
      <c r="H257" s="8"/>
      <c r="I257" s="8"/>
      <c r="J257" s="8" t="s">
        <v>19</v>
      </c>
      <c r="K257" s="8" t="s">
        <v>358</v>
      </c>
      <c r="L257" s="8"/>
      <c r="M257" s="8"/>
      <c r="N257" s="49" t="s">
        <v>359</v>
      </c>
      <c r="O257" s="1014">
        <v>460</v>
      </c>
      <c r="P257" s="8"/>
      <c r="Q257" s="8"/>
      <c r="R257" s="685">
        <v>1</v>
      </c>
      <c r="S257" s="132">
        <v>2</v>
      </c>
      <c r="T257" s="132"/>
      <c r="U257" s="13" t="s">
        <v>232</v>
      </c>
      <c r="V257" s="8"/>
      <c r="W257" s="8"/>
      <c r="X257" s="8"/>
      <c r="Y257" s="8"/>
      <c r="Z257" s="8"/>
    </row>
    <row r="258" spans="1:26" s="21" customFormat="1" ht="12" hidden="1" customHeight="1">
      <c r="A258" s="61" t="s">
        <v>753</v>
      </c>
      <c r="B258" s="61"/>
      <c r="C258" s="62">
        <v>40679</v>
      </c>
      <c r="D258" s="62">
        <v>40681</v>
      </c>
      <c r="E258" s="61"/>
      <c r="F258" s="61"/>
      <c r="G258" s="802"/>
      <c r="H258" s="61"/>
      <c r="I258" s="61" t="s">
        <v>23</v>
      </c>
      <c r="J258" s="61" t="s">
        <v>19</v>
      </c>
      <c r="K258" s="61"/>
      <c r="L258" s="61"/>
      <c r="M258" s="61"/>
      <c r="N258" s="63" t="s">
        <v>754</v>
      </c>
      <c r="O258" s="1022">
        <v>400</v>
      </c>
      <c r="P258" s="61"/>
      <c r="Q258" s="61"/>
      <c r="R258" s="882">
        <v>1</v>
      </c>
      <c r="S258" s="802">
        <v>4</v>
      </c>
      <c r="T258" s="802">
        <v>0</v>
      </c>
      <c r="U258" s="65">
        <v>400</v>
      </c>
      <c r="V258" s="61"/>
      <c r="W258" s="61"/>
      <c r="X258" s="61"/>
      <c r="Y258" s="61"/>
      <c r="Z258" s="61"/>
    </row>
    <row r="259" spans="1:26" s="21" customFormat="1" ht="12" hidden="1" customHeight="1">
      <c r="A259" s="21" t="s">
        <v>1038</v>
      </c>
      <c r="B259" s="21" t="s">
        <v>1039</v>
      </c>
      <c r="C259" s="30">
        <v>41264</v>
      </c>
      <c r="D259" s="30">
        <v>41269</v>
      </c>
      <c r="E259" s="21" t="s">
        <v>1037</v>
      </c>
      <c r="G259" s="764">
        <v>92160</v>
      </c>
      <c r="H259" s="21" t="s">
        <v>1040</v>
      </c>
      <c r="I259" s="21" t="s">
        <v>23</v>
      </c>
      <c r="J259" s="21" t="s">
        <v>19</v>
      </c>
      <c r="K259" s="21" t="s">
        <v>1041</v>
      </c>
      <c r="L259" s="21" t="s">
        <v>1041</v>
      </c>
      <c r="N259" s="50" t="s">
        <v>1042</v>
      </c>
      <c r="O259" s="1013">
        <v>760</v>
      </c>
      <c r="Q259" s="21" t="s">
        <v>1043</v>
      </c>
      <c r="R259" s="876">
        <v>1</v>
      </c>
      <c r="S259" s="764">
        <v>2</v>
      </c>
      <c r="T259" s="764"/>
      <c r="U259" s="88">
        <v>0</v>
      </c>
      <c r="V259" s="78"/>
      <c r="W259" s="21" t="s">
        <v>1044</v>
      </c>
    </row>
    <row r="260" spans="1:26" s="21" customFormat="1" ht="12" hidden="1" customHeight="1">
      <c r="A260" s="67" t="s">
        <v>1027</v>
      </c>
      <c r="B260" s="67" t="s">
        <v>1028</v>
      </c>
      <c r="C260" s="68">
        <v>41391</v>
      </c>
      <c r="D260" s="68">
        <v>41398</v>
      </c>
      <c r="E260" s="67" t="s">
        <v>1029</v>
      </c>
      <c r="F260" s="67"/>
      <c r="G260" s="803" t="s">
        <v>1030</v>
      </c>
      <c r="H260" s="67" t="s">
        <v>1031</v>
      </c>
      <c r="I260" s="67" t="s">
        <v>884</v>
      </c>
      <c r="J260" s="67" t="s">
        <v>19</v>
      </c>
      <c r="K260" s="67" t="s">
        <v>1032</v>
      </c>
      <c r="L260" s="67" t="s">
        <v>1033</v>
      </c>
      <c r="M260" s="67"/>
      <c r="N260" s="69" t="s">
        <v>1034</v>
      </c>
      <c r="O260" s="1023">
        <v>0</v>
      </c>
      <c r="P260" s="67"/>
      <c r="Q260" s="67" t="s">
        <v>1035</v>
      </c>
      <c r="R260" s="883">
        <v>0</v>
      </c>
      <c r="S260" s="803" t="s">
        <v>1036</v>
      </c>
      <c r="T260" s="803">
        <v>0</v>
      </c>
      <c r="U260" s="93">
        <v>197.5</v>
      </c>
      <c r="V260" s="94">
        <v>41240</v>
      </c>
      <c r="W260" s="67"/>
      <c r="X260" s="67"/>
      <c r="Y260" s="67"/>
      <c r="Z260" s="67"/>
    </row>
    <row r="261" spans="1:26" s="21" customFormat="1" ht="12" hidden="1" customHeight="1">
      <c r="A261" s="21" t="s">
        <v>1403</v>
      </c>
      <c r="B261" s="21" t="s">
        <v>1404</v>
      </c>
      <c r="C261" s="30">
        <v>42126</v>
      </c>
      <c r="D261" s="30">
        <v>42133</v>
      </c>
      <c r="E261" s="21" t="s">
        <v>1405</v>
      </c>
      <c r="G261" s="764">
        <v>59740</v>
      </c>
      <c r="H261" s="21" t="s">
        <v>1406</v>
      </c>
      <c r="I261" s="21" t="s">
        <v>23</v>
      </c>
      <c r="J261" s="21" t="s">
        <v>19</v>
      </c>
      <c r="K261" s="21" t="s">
        <v>1407</v>
      </c>
      <c r="L261" s="21" t="s">
        <v>1408</v>
      </c>
      <c r="N261" s="50" t="s">
        <v>1409</v>
      </c>
      <c r="O261" s="1013">
        <v>790</v>
      </c>
      <c r="R261" s="876">
        <v>1</v>
      </c>
      <c r="S261" s="764" t="s">
        <v>1411</v>
      </c>
      <c r="T261" s="764"/>
      <c r="U261" s="75">
        <v>198</v>
      </c>
      <c r="V261" s="78">
        <v>42043</v>
      </c>
      <c r="X261" s="21" t="s">
        <v>1154</v>
      </c>
    </row>
    <row r="262" spans="1:26" s="21" customFormat="1" ht="12" hidden="1" customHeight="1">
      <c r="A262" s="820" t="s">
        <v>1485</v>
      </c>
      <c r="B262" s="820"/>
      <c r="C262" s="821">
        <v>42364</v>
      </c>
      <c r="D262" s="821">
        <v>42372</v>
      </c>
      <c r="E262" s="820" t="s">
        <v>1490</v>
      </c>
      <c r="F262" s="820"/>
      <c r="G262" s="822">
        <v>29233</v>
      </c>
      <c r="H262" s="820" t="s">
        <v>1486</v>
      </c>
      <c r="I262" s="820" t="s">
        <v>23</v>
      </c>
      <c r="J262" s="820" t="s">
        <v>19</v>
      </c>
      <c r="K262" s="820" t="s">
        <v>1487</v>
      </c>
      <c r="L262" s="820"/>
      <c r="M262" s="820"/>
      <c r="N262" s="823" t="s">
        <v>1488</v>
      </c>
      <c r="O262" s="1026">
        <v>1000</v>
      </c>
      <c r="P262" s="820"/>
      <c r="Q262" s="820"/>
      <c r="R262" s="885">
        <v>1</v>
      </c>
      <c r="S262" s="822">
        <v>2</v>
      </c>
      <c r="T262" s="822">
        <v>0</v>
      </c>
      <c r="U262" s="824">
        <v>250</v>
      </c>
      <c r="V262" s="825" t="s">
        <v>1489</v>
      </c>
      <c r="W262" s="820"/>
      <c r="X262" s="820" t="s">
        <v>1217</v>
      </c>
      <c r="Y262" s="820"/>
      <c r="Z262" s="820"/>
    </row>
    <row r="263" spans="1:26" s="21" customFormat="1" ht="12" hidden="1" customHeight="1">
      <c r="A263" s="21" t="s">
        <v>566</v>
      </c>
      <c r="B263" s="21" t="s">
        <v>567</v>
      </c>
      <c r="C263" s="30">
        <v>40130</v>
      </c>
      <c r="D263" s="30">
        <v>40137</v>
      </c>
      <c r="E263" s="21" t="s">
        <v>568</v>
      </c>
      <c r="G263" s="764">
        <v>4148</v>
      </c>
      <c r="H263" s="21" t="s">
        <v>569</v>
      </c>
      <c r="I263" s="21" t="s">
        <v>168</v>
      </c>
      <c r="J263" s="21" t="s">
        <v>19</v>
      </c>
      <c r="K263" s="21" t="s">
        <v>570</v>
      </c>
      <c r="L263" s="21" t="s">
        <v>571</v>
      </c>
      <c r="N263" s="50" t="s">
        <v>572</v>
      </c>
      <c r="O263" s="1013">
        <v>760</v>
      </c>
      <c r="Q263" s="21" t="s">
        <v>573</v>
      </c>
      <c r="R263" s="876">
        <v>1</v>
      </c>
      <c r="S263" s="764">
        <v>4</v>
      </c>
      <c r="T263" s="764"/>
      <c r="U263" s="43">
        <v>297.60000000000002</v>
      </c>
    </row>
    <row r="264" spans="1:26" s="67" customFormat="1" ht="12" hidden="1" customHeight="1">
      <c r="A264" s="21" t="s">
        <v>1091</v>
      </c>
      <c r="B264" s="21" t="s">
        <v>1089</v>
      </c>
      <c r="C264" s="30">
        <v>41531</v>
      </c>
      <c r="D264" s="30">
        <v>41545</v>
      </c>
      <c r="E264" s="21" t="s">
        <v>1090</v>
      </c>
      <c r="F264" s="21"/>
      <c r="G264" s="764" t="s">
        <v>1093</v>
      </c>
      <c r="H264" s="21" t="s">
        <v>1092</v>
      </c>
      <c r="I264" s="21" t="s">
        <v>18</v>
      </c>
      <c r="J264" s="21" t="s">
        <v>19</v>
      </c>
      <c r="K264" s="21" t="s">
        <v>1094</v>
      </c>
      <c r="L264" s="21" t="s">
        <v>1095</v>
      </c>
      <c r="M264" s="21"/>
      <c r="N264" s="50" t="s">
        <v>1096</v>
      </c>
      <c r="O264" s="1013">
        <f>2000+70+42</f>
        <v>2112</v>
      </c>
      <c r="P264" s="21"/>
      <c r="Q264" s="21" t="s">
        <v>1025</v>
      </c>
      <c r="R264" s="876">
        <v>2</v>
      </c>
      <c r="S264" s="764" t="s">
        <v>1025</v>
      </c>
      <c r="T264" s="764">
        <v>1</v>
      </c>
      <c r="U264" s="75">
        <v>500</v>
      </c>
      <c r="V264" s="84">
        <v>41326</v>
      </c>
      <c r="W264" s="21" t="s">
        <v>1052</v>
      </c>
      <c r="X264" s="21"/>
      <c r="Y264" s="21"/>
      <c r="Z264" s="21"/>
    </row>
    <row r="265" spans="1:26" s="21" customFormat="1" ht="12" hidden="1" customHeight="1">
      <c r="A265" s="115" t="s">
        <v>3064</v>
      </c>
      <c r="B265" s="115" t="s">
        <v>3065</v>
      </c>
      <c r="C265" s="116">
        <v>44556</v>
      </c>
      <c r="D265" s="116">
        <v>44563</v>
      </c>
      <c r="E265" s="115" t="s">
        <v>3066</v>
      </c>
      <c r="F265" s="115"/>
      <c r="G265" s="361" t="s">
        <v>3067</v>
      </c>
      <c r="H265" s="115" t="s">
        <v>3068</v>
      </c>
      <c r="I265" s="115" t="s">
        <v>168</v>
      </c>
      <c r="J265" s="115" t="s">
        <v>19</v>
      </c>
      <c r="K265" s="115"/>
      <c r="L265" s="115" t="s">
        <v>3069</v>
      </c>
      <c r="M265" s="115"/>
      <c r="N265" s="128" t="s">
        <v>3070</v>
      </c>
      <c r="O265" s="1027">
        <f>U265</f>
        <v>1359.51</v>
      </c>
      <c r="P265" s="115">
        <v>4</v>
      </c>
      <c r="Q265" s="115" t="s">
        <v>1401</v>
      </c>
      <c r="R265" s="682">
        <v>1</v>
      </c>
      <c r="S265" s="361">
        <v>4</v>
      </c>
      <c r="T265" s="361"/>
      <c r="U265" s="119">
        <f>298.2+24.35+1036.96</f>
        <v>1359.51</v>
      </c>
      <c r="V265" s="115">
        <v>44494</v>
      </c>
      <c r="W265" s="115"/>
      <c r="X265" s="115" t="s">
        <v>1154</v>
      </c>
      <c r="Y265" s="115"/>
      <c r="Z265" s="115"/>
    </row>
    <row r="266" spans="1:26" s="21" customFormat="1" ht="12" hidden="1" customHeight="1">
      <c r="A266" s="21" t="s">
        <v>587</v>
      </c>
      <c r="B266" s="21" t="s">
        <v>588</v>
      </c>
      <c r="C266" s="30">
        <v>40173</v>
      </c>
      <c r="D266" s="30">
        <v>40180</v>
      </c>
      <c r="E266" s="21" t="s">
        <v>586</v>
      </c>
      <c r="G266" s="764">
        <v>92400</v>
      </c>
      <c r="H266" s="21" t="s">
        <v>589</v>
      </c>
      <c r="I266" s="21" t="s">
        <v>23</v>
      </c>
      <c r="J266" s="21" t="s">
        <v>19</v>
      </c>
      <c r="K266" s="21" t="s">
        <v>590</v>
      </c>
      <c r="L266" s="21" t="s">
        <v>591</v>
      </c>
      <c r="N266" s="50" t="s">
        <v>593</v>
      </c>
      <c r="O266" s="1013">
        <v>1050</v>
      </c>
      <c r="Q266" s="21" t="s">
        <v>592</v>
      </c>
      <c r="R266" s="876">
        <v>1</v>
      </c>
      <c r="S266" s="764">
        <v>4</v>
      </c>
      <c r="T266" s="764"/>
      <c r="U266" s="43">
        <v>300</v>
      </c>
    </row>
    <row r="267" spans="1:26" s="21" customFormat="1" ht="12" hidden="1" customHeight="1">
      <c r="A267" s="21" t="s">
        <v>651</v>
      </c>
      <c r="B267" s="21" t="s">
        <v>652</v>
      </c>
      <c r="C267" s="30">
        <v>40348</v>
      </c>
      <c r="D267" s="30">
        <v>40355</v>
      </c>
      <c r="E267" s="21" t="s">
        <v>653</v>
      </c>
      <c r="G267" s="764" t="s">
        <v>654</v>
      </c>
      <c r="H267" s="21" t="s">
        <v>655</v>
      </c>
      <c r="I267" s="21" t="s">
        <v>18</v>
      </c>
      <c r="J267" s="21" t="s">
        <v>19</v>
      </c>
      <c r="L267" s="21" t="s">
        <v>656</v>
      </c>
      <c r="N267" s="50" t="s">
        <v>657</v>
      </c>
      <c r="O267" s="1020">
        <f>950+70</f>
        <v>1020</v>
      </c>
      <c r="R267" s="876">
        <v>1</v>
      </c>
      <c r="S267" s="764">
        <v>4</v>
      </c>
      <c r="T267" s="764" t="s">
        <v>658</v>
      </c>
      <c r="U267" s="47">
        <v>237.5</v>
      </c>
    </row>
    <row r="268" spans="1:26" s="21" customFormat="1" ht="12" hidden="1" customHeight="1">
      <c r="A268" s="900" t="s">
        <v>2440</v>
      </c>
      <c r="B268" s="900" t="s">
        <v>2441</v>
      </c>
      <c r="C268" s="901">
        <v>44009</v>
      </c>
      <c r="D268" s="901">
        <v>44016</v>
      </c>
      <c r="E268" s="900" t="s">
        <v>1064</v>
      </c>
      <c r="F268" s="900"/>
      <c r="G268" s="902" t="s">
        <v>1065</v>
      </c>
      <c r="H268" s="900"/>
      <c r="I268" s="900" t="s">
        <v>54</v>
      </c>
      <c r="J268" s="900" t="s">
        <v>19</v>
      </c>
      <c r="K268" s="900"/>
      <c r="L268" s="900" t="s">
        <v>2443</v>
      </c>
      <c r="M268" s="900"/>
      <c r="N268" s="903" t="s">
        <v>2442</v>
      </c>
      <c r="O268" s="1043">
        <v>0</v>
      </c>
      <c r="P268" s="900"/>
      <c r="Q268" s="900" t="s">
        <v>2591</v>
      </c>
      <c r="R268" s="905"/>
      <c r="S268" s="902" t="s">
        <v>2444</v>
      </c>
      <c r="T268" s="902">
        <v>1</v>
      </c>
      <c r="U268" s="906" t="s">
        <v>2445</v>
      </c>
      <c r="V268" s="907">
        <v>41302</v>
      </c>
      <c r="W268" s="900" t="s">
        <v>1071</v>
      </c>
      <c r="X268" s="900" t="s">
        <v>1154</v>
      </c>
      <c r="Y268" s="900" t="s">
        <v>2608</v>
      </c>
      <c r="Z268" s="900"/>
    </row>
    <row r="269" spans="1:26" s="21" customFormat="1" ht="12" hidden="1" customHeight="1">
      <c r="A269" s="21" t="s">
        <v>176</v>
      </c>
      <c r="B269" s="21" t="s">
        <v>177</v>
      </c>
      <c r="C269" s="30">
        <v>40827</v>
      </c>
      <c r="D269" s="30">
        <v>40866</v>
      </c>
      <c r="E269" s="21" t="s">
        <v>175</v>
      </c>
      <c r="G269" s="764">
        <v>41000</v>
      </c>
      <c r="H269" s="21" t="s">
        <v>178</v>
      </c>
      <c r="I269" s="21" t="s">
        <v>23</v>
      </c>
      <c r="J269" s="21" t="s">
        <v>19</v>
      </c>
      <c r="K269" s="21" t="s">
        <v>792</v>
      </c>
      <c r="L269" s="21" t="s">
        <v>808</v>
      </c>
      <c r="N269" s="50" t="s">
        <v>174</v>
      </c>
      <c r="O269" s="1013">
        <f>690+70</f>
        <v>760</v>
      </c>
      <c r="Q269" s="21" t="s">
        <v>674</v>
      </c>
      <c r="R269" s="876">
        <v>1</v>
      </c>
      <c r="S269" s="764">
        <v>4</v>
      </c>
      <c r="T269" s="764"/>
      <c r="U269" s="23">
        <v>172.5</v>
      </c>
    </row>
    <row r="270" spans="1:26" s="21" customFormat="1" ht="12" hidden="1" customHeight="1">
      <c r="A270" s="355" t="s">
        <v>2872</v>
      </c>
      <c r="B270" s="355" t="s">
        <v>2873</v>
      </c>
      <c r="C270" s="357">
        <v>44254</v>
      </c>
      <c r="D270" s="357">
        <v>44261</v>
      </c>
      <c r="E270" s="355" t="s">
        <v>2874</v>
      </c>
      <c r="F270" s="355"/>
      <c r="G270" s="358">
        <v>44240</v>
      </c>
      <c r="H270" s="355" t="s">
        <v>2875</v>
      </c>
      <c r="I270" s="355" t="s">
        <v>23</v>
      </c>
      <c r="J270" s="355" t="s">
        <v>19</v>
      </c>
      <c r="K270" s="368"/>
      <c r="L270" s="355" t="s">
        <v>2876</v>
      </c>
      <c r="M270" s="355"/>
      <c r="N270" s="365" t="s">
        <v>2877</v>
      </c>
      <c r="O270" s="1036">
        <f>790+70</f>
        <v>860</v>
      </c>
      <c r="P270" s="355"/>
      <c r="Q270" s="355" t="s">
        <v>1343</v>
      </c>
      <c r="R270" s="891">
        <v>1</v>
      </c>
      <c r="S270" s="358">
        <v>6</v>
      </c>
      <c r="T270" s="358">
        <v>0</v>
      </c>
      <c r="U270" s="576"/>
      <c r="V270" s="355">
        <v>44251</v>
      </c>
      <c r="W270" s="355"/>
      <c r="X270" s="355" t="s">
        <v>1154</v>
      </c>
      <c r="Y270" s="355"/>
      <c r="Z270" s="355"/>
    </row>
    <row r="271" spans="1:26" s="21" customFormat="1" ht="12" hidden="1" customHeight="1">
      <c r="A271" s="355" t="s">
        <v>1902</v>
      </c>
      <c r="B271" s="355" t="s">
        <v>1903</v>
      </c>
      <c r="C271" s="357">
        <v>43161</v>
      </c>
      <c r="D271" s="357">
        <v>43175</v>
      </c>
      <c r="E271" s="355" t="s">
        <v>1904</v>
      </c>
      <c r="F271" s="355"/>
      <c r="G271" s="358"/>
      <c r="H271" s="355"/>
      <c r="I271" s="355" t="s">
        <v>54</v>
      </c>
      <c r="J271" s="355" t="s">
        <v>19</v>
      </c>
      <c r="K271" s="355"/>
      <c r="L271" s="355" t="s">
        <v>1905</v>
      </c>
      <c r="M271" s="355"/>
      <c r="N271" s="365" t="s">
        <v>1906</v>
      </c>
      <c r="O271" s="1036">
        <v>1618</v>
      </c>
      <c r="P271" s="355"/>
      <c r="Q271" s="355" t="s">
        <v>1907</v>
      </c>
      <c r="R271" s="891">
        <v>2</v>
      </c>
      <c r="S271" s="358">
        <v>2</v>
      </c>
      <c r="T271" s="358">
        <v>4</v>
      </c>
      <c r="U271" s="356">
        <v>0</v>
      </c>
      <c r="V271" s="360">
        <v>43145</v>
      </c>
      <c r="W271" s="355"/>
      <c r="X271" s="355" t="s">
        <v>1154</v>
      </c>
      <c r="Y271" s="355"/>
      <c r="Z271" s="355"/>
    </row>
    <row r="272" spans="1:26" s="21" customFormat="1" ht="12" hidden="1" customHeight="1">
      <c r="A272" s="21" t="s">
        <v>961</v>
      </c>
      <c r="B272" s="21" t="s">
        <v>962</v>
      </c>
      <c r="C272" s="30">
        <v>41279</v>
      </c>
      <c r="D272" s="30">
        <v>41289</v>
      </c>
      <c r="E272" s="21" t="s">
        <v>963</v>
      </c>
      <c r="G272" s="764">
        <v>13810</v>
      </c>
      <c r="H272" s="21" t="s">
        <v>964</v>
      </c>
      <c r="I272" s="21" t="s">
        <v>23</v>
      </c>
      <c r="J272" s="21" t="s">
        <v>19</v>
      </c>
      <c r="K272" s="21" t="s">
        <v>965</v>
      </c>
      <c r="L272" s="21" t="s">
        <v>966</v>
      </c>
      <c r="N272" s="50" t="s">
        <v>967</v>
      </c>
      <c r="O272" s="1013">
        <f>990+70+60</f>
        <v>1120</v>
      </c>
      <c r="Q272" s="21" t="s">
        <v>968</v>
      </c>
      <c r="R272" s="876">
        <v>2</v>
      </c>
      <c r="S272" s="764" t="s">
        <v>969</v>
      </c>
      <c r="T272" s="764">
        <v>2</v>
      </c>
      <c r="U272" s="75">
        <v>250</v>
      </c>
      <c r="V272" s="89">
        <v>41105</v>
      </c>
    </row>
    <row r="273" spans="1:26" s="820" customFormat="1" ht="12" hidden="1" customHeight="1">
      <c r="A273" s="21" t="s">
        <v>608</v>
      </c>
      <c r="B273" s="21"/>
      <c r="C273" s="30">
        <v>40390</v>
      </c>
      <c r="D273" s="30">
        <v>40404</v>
      </c>
      <c r="E273" s="21"/>
      <c r="F273" s="21"/>
      <c r="G273" s="764"/>
      <c r="H273" s="21"/>
      <c r="I273" s="21"/>
      <c r="J273" s="21" t="s">
        <v>19</v>
      </c>
      <c r="K273" s="21" t="s">
        <v>610</v>
      </c>
      <c r="L273" s="21" t="s">
        <v>611</v>
      </c>
      <c r="M273" s="21"/>
      <c r="N273" s="50" t="s">
        <v>609</v>
      </c>
      <c r="O273" s="1013">
        <f>1590*2+70+3*14</f>
        <v>3292</v>
      </c>
      <c r="P273" s="21"/>
      <c r="Q273" s="21" t="s">
        <v>600</v>
      </c>
      <c r="R273" s="876">
        <v>2</v>
      </c>
      <c r="S273" s="764">
        <v>6</v>
      </c>
      <c r="T273" s="764">
        <v>1</v>
      </c>
      <c r="U273" s="46">
        <f>O273/4</f>
        <v>823</v>
      </c>
      <c r="V273" s="21"/>
      <c r="W273" s="21"/>
      <c r="X273" s="21"/>
      <c r="Y273" s="21"/>
      <c r="Z273" s="21"/>
    </row>
    <row r="274" spans="1:26" s="21" customFormat="1" ht="12" hidden="1" customHeight="1">
      <c r="A274" s="8" t="s">
        <v>260</v>
      </c>
      <c r="B274" s="8" t="s">
        <v>24</v>
      </c>
      <c r="C274" s="34">
        <v>38388</v>
      </c>
      <c r="D274" s="34">
        <v>38395</v>
      </c>
      <c r="E274" s="8" t="s">
        <v>314</v>
      </c>
      <c r="F274" s="8"/>
      <c r="G274" s="132">
        <v>59320</v>
      </c>
      <c r="H274" s="8" t="s">
        <v>315</v>
      </c>
      <c r="I274" s="8" t="s">
        <v>23</v>
      </c>
      <c r="J274" s="8" t="s">
        <v>19</v>
      </c>
      <c r="K274" s="8" t="s">
        <v>316</v>
      </c>
      <c r="L274" s="8"/>
      <c r="M274" s="8"/>
      <c r="N274" s="49" t="s">
        <v>261</v>
      </c>
      <c r="O274" s="1035">
        <v>520</v>
      </c>
      <c r="P274" s="8"/>
      <c r="Q274" s="8"/>
      <c r="R274" s="685">
        <v>1</v>
      </c>
      <c r="S274" s="132" t="s">
        <v>317</v>
      </c>
      <c r="T274" s="132"/>
      <c r="U274" s="13" t="s">
        <v>232</v>
      </c>
      <c r="V274" s="8"/>
      <c r="W274" s="8"/>
      <c r="X274" s="8"/>
      <c r="Y274" s="8"/>
      <c r="Z274" s="8"/>
    </row>
    <row r="275" spans="1:26" s="21" customFormat="1" ht="12" hidden="1" customHeight="1">
      <c r="A275" s="21" t="s">
        <v>1124</v>
      </c>
      <c r="C275" s="30">
        <v>41433</v>
      </c>
      <c r="D275" s="30">
        <v>41440</v>
      </c>
      <c r="E275" s="21" t="s">
        <v>1125</v>
      </c>
      <c r="G275" s="764" t="s">
        <v>1126</v>
      </c>
      <c r="H275" s="21" t="s">
        <v>1127</v>
      </c>
      <c r="I275" s="21" t="s">
        <v>36</v>
      </c>
      <c r="J275" s="21" t="s">
        <v>19</v>
      </c>
      <c r="K275" s="21" t="s">
        <v>1128</v>
      </c>
      <c r="N275" s="50" t="s">
        <v>1680</v>
      </c>
      <c r="O275" s="1013">
        <v>1090</v>
      </c>
      <c r="Q275" s="21" t="s">
        <v>1130</v>
      </c>
      <c r="R275" s="876">
        <v>1</v>
      </c>
      <c r="S275" s="764" t="s">
        <v>1130</v>
      </c>
      <c r="T275" s="764">
        <v>0</v>
      </c>
      <c r="U275" s="75">
        <v>290</v>
      </c>
      <c r="V275" s="78">
        <v>41386</v>
      </c>
    </row>
    <row r="276" spans="1:26" s="21" customFormat="1" ht="12" hidden="1" customHeight="1">
      <c r="A276" s="355" t="s">
        <v>2818</v>
      </c>
      <c r="B276" s="355" t="s">
        <v>2819</v>
      </c>
      <c r="C276" s="357">
        <v>44198</v>
      </c>
      <c r="D276" s="357">
        <v>44212</v>
      </c>
      <c r="E276" s="355" t="s">
        <v>2820</v>
      </c>
      <c r="F276" s="355"/>
      <c r="G276" s="358" t="s">
        <v>2821</v>
      </c>
      <c r="H276" s="355" t="s">
        <v>2822</v>
      </c>
      <c r="I276" s="355" t="s">
        <v>23</v>
      </c>
      <c r="J276" s="355" t="s">
        <v>19</v>
      </c>
      <c r="K276" s="368" t="s">
        <v>2823</v>
      </c>
      <c r="L276" s="355" t="s">
        <v>2824</v>
      </c>
      <c r="M276" s="355"/>
      <c r="N276" s="362" t="s">
        <v>2825</v>
      </c>
      <c r="O276" s="1036">
        <v>1600</v>
      </c>
      <c r="P276" s="355"/>
      <c r="Q276" s="355" t="s">
        <v>1401</v>
      </c>
      <c r="R276" s="891">
        <v>2</v>
      </c>
      <c r="S276" s="358">
        <v>4</v>
      </c>
      <c r="T276" s="358">
        <v>2</v>
      </c>
      <c r="U276" s="576"/>
      <c r="V276" s="355" t="s">
        <v>2826</v>
      </c>
      <c r="W276" s="355"/>
      <c r="X276" s="355" t="s">
        <v>1217</v>
      </c>
      <c r="Y276" s="355"/>
      <c r="Z276" s="355"/>
    </row>
    <row r="277" spans="1:26" s="21" customFormat="1" ht="12" hidden="1" customHeight="1">
      <c r="A277" s="8" t="s">
        <v>276</v>
      </c>
      <c r="B277" s="8" t="s">
        <v>277</v>
      </c>
      <c r="C277" s="33">
        <v>38598</v>
      </c>
      <c r="D277" s="33">
        <v>38605</v>
      </c>
      <c r="E277" s="8" t="s">
        <v>337</v>
      </c>
      <c r="F277" s="8"/>
      <c r="G277" s="132">
        <v>44150</v>
      </c>
      <c r="H277" s="8" t="s">
        <v>338</v>
      </c>
      <c r="I277" s="8" t="s">
        <v>23</v>
      </c>
      <c r="J277" s="8" t="s">
        <v>19</v>
      </c>
      <c r="K277" s="8" t="s">
        <v>279</v>
      </c>
      <c r="L277" s="8">
        <v>679076284</v>
      </c>
      <c r="M277" s="8"/>
      <c r="N277" s="49" t="s">
        <v>278</v>
      </c>
      <c r="O277" s="1014">
        <v>520</v>
      </c>
      <c r="P277" s="8"/>
      <c r="Q277" s="8"/>
      <c r="R277" s="685">
        <v>1</v>
      </c>
      <c r="S277" s="132">
        <v>2</v>
      </c>
      <c r="T277" s="132">
        <v>1</v>
      </c>
      <c r="U277" s="13" t="s">
        <v>232</v>
      </c>
      <c r="V277" s="8"/>
      <c r="W277" s="8"/>
      <c r="X277" s="8"/>
      <c r="Y277" s="8"/>
      <c r="Z277" s="8"/>
    </row>
    <row r="278" spans="1:26" s="21" customFormat="1" ht="12" hidden="1" customHeight="1">
      <c r="A278" s="21" t="s">
        <v>537</v>
      </c>
      <c r="B278" s="21" t="s">
        <v>538</v>
      </c>
      <c r="C278" s="30">
        <v>40083</v>
      </c>
      <c r="D278" s="30">
        <v>40090</v>
      </c>
      <c r="E278" s="21" t="s">
        <v>535</v>
      </c>
      <c r="G278" s="764">
        <v>8427</v>
      </c>
      <c r="H278" s="21" t="s">
        <v>594</v>
      </c>
      <c r="I278" s="21" t="s">
        <v>168</v>
      </c>
      <c r="J278" s="21" t="s">
        <v>19</v>
      </c>
      <c r="K278" s="21" t="s">
        <v>540</v>
      </c>
      <c r="L278" s="21" t="s">
        <v>539</v>
      </c>
      <c r="N278" s="50" t="s">
        <v>536</v>
      </c>
      <c r="O278" s="1013">
        <v>970</v>
      </c>
      <c r="R278" s="876">
        <v>1</v>
      </c>
      <c r="S278" s="764">
        <v>4</v>
      </c>
      <c r="T278" s="764">
        <v>1</v>
      </c>
      <c r="U278" s="43">
        <v>225</v>
      </c>
    </row>
    <row r="279" spans="1:26" s="21" customFormat="1" ht="12" hidden="1" customHeight="1">
      <c r="A279" s="355" t="s">
        <v>2863</v>
      </c>
      <c r="B279" s="355" t="s">
        <v>2264</v>
      </c>
      <c r="C279" s="357">
        <v>44239</v>
      </c>
      <c r="D279" s="357">
        <v>44247</v>
      </c>
      <c r="E279" s="355"/>
      <c r="F279" s="355"/>
      <c r="G279" s="358"/>
      <c r="H279" s="355"/>
      <c r="I279" s="355" t="s">
        <v>54</v>
      </c>
      <c r="J279" s="355" t="s">
        <v>19</v>
      </c>
      <c r="K279" s="368"/>
      <c r="L279" s="355" t="s">
        <v>2864</v>
      </c>
      <c r="M279" s="355"/>
      <c r="N279" s="365" t="s">
        <v>2865</v>
      </c>
      <c r="O279" s="1036">
        <f>790+113*2+3*3*10+70+3</f>
        <v>1179</v>
      </c>
      <c r="P279" s="355"/>
      <c r="Q279" s="355" t="s">
        <v>1910</v>
      </c>
      <c r="R279" s="891">
        <v>1</v>
      </c>
      <c r="S279" s="358">
        <v>3</v>
      </c>
      <c r="T279" s="358">
        <v>3</v>
      </c>
      <c r="U279" s="576"/>
      <c r="V279" s="355">
        <v>44211</v>
      </c>
      <c r="W279" s="355"/>
      <c r="X279" s="355" t="s">
        <v>1154</v>
      </c>
      <c r="Y279" s="355"/>
      <c r="Z279" s="355"/>
    </row>
    <row r="280" spans="1:26" s="21" customFormat="1" ht="12" hidden="1" customHeight="1">
      <c r="A280" s="21" t="s">
        <v>515</v>
      </c>
      <c r="B280" s="21" t="s">
        <v>516</v>
      </c>
      <c r="C280" s="30">
        <v>39963</v>
      </c>
      <c r="D280" s="30">
        <v>39991</v>
      </c>
      <c r="G280" s="764"/>
      <c r="I280" s="21" t="s">
        <v>18</v>
      </c>
      <c r="J280" s="21" t="s">
        <v>19</v>
      </c>
      <c r="K280" s="21" t="s">
        <v>518</v>
      </c>
      <c r="N280" s="50" t="s">
        <v>514</v>
      </c>
      <c r="O280" s="1013">
        <v>2800</v>
      </c>
      <c r="Q280" s="21" t="s">
        <v>517</v>
      </c>
      <c r="R280" s="876">
        <v>3</v>
      </c>
      <c r="S280" s="764">
        <v>3</v>
      </c>
      <c r="T280" s="764"/>
      <c r="U280" s="43">
        <v>700</v>
      </c>
    </row>
    <row r="281" spans="1:26" s="21" customFormat="1" ht="12" hidden="1" customHeight="1">
      <c r="A281" s="21" t="s">
        <v>519</v>
      </c>
      <c r="B281" s="21" t="s">
        <v>520</v>
      </c>
      <c r="C281" s="30">
        <v>40040</v>
      </c>
      <c r="D281" s="30">
        <v>40047</v>
      </c>
      <c r="E281" s="21" t="s">
        <v>521</v>
      </c>
      <c r="G281" s="764">
        <v>78670</v>
      </c>
      <c r="H281" s="21" t="s">
        <v>522</v>
      </c>
      <c r="I281" s="21" t="s">
        <v>23</v>
      </c>
      <c r="J281" s="21" t="s">
        <v>19</v>
      </c>
      <c r="K281" s="21" t="s">
        <v>523</v>
      </c>
      <c r="L281" s="21" t="s">
        <v>524</v>
      </c>
      <c r="N281" s="50" t="s">
        <v>525</v>
      </c>
      <c r="O281" s="1013">
        <f>1490+42+70</f>
        <v>1602</v>
      </c>
      <c r="Q281" s="21" t="s">
        <v>526</v>
      </c>
      <c r="R281" s="876">
        <v>1</v>
      </c>
      <c r="S281" s="764">
        <v>5</v>
      </c>
      <c r="T281" s="764">
        <v>2</v>
      </c>
      <c r="U281" s="43">
        <v>400</v>
      </c>
    </row>
    <row r="282" spans="1:26" ht="12" hidden="1" customHeight="1">
      <c r="A282" s="21" t="s">
        <v>780</v>
      </c>
      <c r="B282" s="21" t="s">
        <v>781</v>
      </c>
      <c r="C282" s="30">
        <v>40835</v>
      </c>
      <c r="D282" s="30">
        <v>40848</v>
      </c>
      <c r="E282" s="21" t="s">
        <v>782</v>
      </c>
      <c r="F282" s="21"/>
      <c r="G282" s="764">
        <v>57200</v>
      </c>
      <c r="H282" s="21" t="s">
        <v>783</v>
      </c>
      <c r="I282" s="21" t="s">
        <v>23</v>
      </c>
      <c r="J282" s="21" t="s">
        <v>19</v>
      </c>
      <c r="K282" s="21"/>
      <c r="L282" s="21" t="s">
        <v>809</v>
      </c>
      <c r="M282" s="21"/>
      <c r="N282" s="50" t="s">
        <v>784</v>
      </c>
      <c r="O282" s="1013">
        <f>600+600</f>
        <v>1200</v>
      </c>
      <c r="P282" s="21"/>
      <c r="Q282" s="21" t="s">
        <v>199</v>
      </c>
      <c r="R282" s="876">
        <v>2</v>
      </c>
      <c r="S282" s="764">
        <v>2</v>
      </c>
      <c r="T282" s="764">
        <v>2</v>
      </c>
      <c r="U282" s="23">
        <v>300</v>
      </c>
      <c r="V282" s="21"/>
      <c r="W282" s="21"/>
      <c r="X282" s="21"/>
      <c r="Y282" s="21"/>
      <c r="Z282" s="21"/>
    </row>
    <row r="283" spans="1:26" ht="12" hidden="1" customHeight="1">
      <c r="A283" s="115" t="s">
        <v>1722</v>
      </c>
      <c r="B283" s="115" t="s">
        <v>1723</v>
      </c>
      <c r="C283" s="116">
        <v>42966</v>
      </c>
      <c r="D283" s="116">
        <v>42973</v>
      </c>
      <c r="E283" s="115" t="s">
        <v>1724</v>
      </c>
      <c r="F283" s="115"/>
      <c r="G283" s="361">
        <v>27220</v>
      </c>
      <c r="H283" s="115" t="s">
        <v>1725</v>
      </c>
      <c r="I283" s="115" t="s">
        <v>23</v>
      </c>
      <c r="J283" s="115" t="s">
        <v>19</v>
      </c>
      <c r="K283" s="115"/>
      <c r="L283" s="115" t="s">
        <v>1726</v>
      </c>
      <c r="M283" s="115"/>
      <c r="N283" s="128" t="s">
        <v>1727</v>
      </c>
      <c r="O283" s="1027">
        <v>1790</v>
      </c>
      <c r="P283" s="115"/>
      <c r="Q283" s="115" t="s">
        <v>1728</v>
      </c>
      <c r="R283" s="682">
        <v>1</v>
      </c>
      <c r="S283" s="361">
        <v>4</v>
      </c>
      <c r="T283" s="361">
        <v>1</v>
      </c>
      <c r="U283" s="119">
        <v>447.5</v>
      </c>
      <c r="V283" s="120"/>
      <c r="W283" s="115"/>
      <c r="X283" s="115"/>
      <c r="Y283" s="115"/>
      <c r="Z283" s="115"/>
    </row>
    <row r="284" spans="1:26" ht="12" hidden="1" customHeight="1">
      <c r="A284" s="61" t="s">
        <v>737</v>
      </c>
      <c r="B284" s="61" t="s">
        <v>738</v>
      </c>
      <c r="C284" s="62">
        <v>40649</v>
      </c>
      <c r="D284" s="62">
        <v>40656</v>
      </c>
      <c r="E284" s="61" t="s">
        <v>739</v>
      </c>
      <c r="F284" s="61"/>
      <c r="G284" s="802">
        <v>8200</v>
      </c>
      <c r="H284" s="61" t="s">
        <v>740</v>
      </c>
      <c r="I284" s="61" t="s">
        <v>23</v>
      </c>
      <c r="J284" s="61" t="s">
        <v>19</v>
      </c>
      <c r="K284" s="61" t="s">
        <v>741</v>
      </c>
      <c r="L284" s="61" t="s">
        <v>742</v>
      </c>
      <c r="M284" s="61"/>
      <c r="N284" s="63" t="s">
        <v>743</v>
      </c>
      <c r="O284" s="1022">
        <v>790</v>
      </c>
      <c r="P284" s="61"/>
      <c r="Q284" s="61" t="s">
        <v>744</v>
      </c>
      <c r="R284" s="882">
        <v>1</v>
      </c>
      <c r="S284" s="802">
        <v>7</v>
      </c>
      <c r="T284" s="802">
        <v>0</v>
      </c>
      <c r="U284" s="65">
        <v>198</v>
      </c>
      <c r="V284" s="61"/>
      <c r="W284" s="61"/>
      <c r="X284" s="61"/>
      <c r="Y284" s="61"/>
      <c r="Z284" s="61"/>
    </row>
    <row r="285" spans="1:26" ht="12" hidden="1" customHeight="1">
      <c r="A285" s="21" t="s">
        <v>632</v>
      </c>
      <c r="B285" s="21" t="s">
        <v>627</v>
      </c>
      <c r="C285" s="30">
        <v>40453</v>
      </c>
      <c r="D285" s="30">
        <v>40467</v>
      </c>
      <c r="E285" s="21" t="s">
        <v>633</v>
      </c>
      <c r="F285" s="21"/>
      <c r="G285" s="764" t="s">
        <v>634</v>
      </c>
      <c r="H285" s="21" t="s">
        <v>635</v>
      </c>
      <c r="I285" s="21" t="s">
        <v>168</v>
      </c>
      <c r="J285" s="21" t="s">
        <v>19</v>
      </c>
      <c r="K285" s="21" t="s">
        <v>636</v>
      </c>
      <c r="L285" s="21" t="s">
        <v>637</v>
      </c>
      <c r="M285" s="21"/>
      <c r="N285" s="50" t="s">
        <v>638</v>
      </c>
      <c r="O285" s="1013">
        <v>1800</v>
      </c>
      <c r="P285" s="21"/>
      <c r="Q285" s="21" t="s">
        <v>639</v>
      </c>
      <c r="R285" s="876">
        <v>2</v>
      </c>
      <c r="S285" s="764">
        <v>2</v>
      </c>
      <c r="T285" s="764">
        <v>1</v>
      </c>
      <c r="U285" s="23">
        <v>450</v>
      </c>
      <c r="V285" s="21"/>
      <c r="W285" s="21"/>
      <c r="X285" s="21"/>
      <c r="Y285" s="21"/>
      <c r="Z285" s="21"/>
    </row>
    <row r="286" spans="1:26" ht="12" hidden="1" customHeight="1">
      <c r="A286" s="115" t="s">
        <v>2279</v>
      </c>
      <c r="B286" s="115" t="s">
        <v>438</v>
      </c>
      <c r="C286" s="116">
        <v>43575</v>
      </c>
      <c r="D286" s="116">
        <v>43582</v>
      </c>
      <c r="E286" s="115" t="s">
        <v>2280</v>
      </c>
      <c r="F286" s="115"/>
      <c r="G286" s="361" t="s">
        <v>2281</v>
      </c>
      <c r="H286" s="364" t="s">
        <v>2282</v>
      </c>
      <c r="I286" s="115" t="s">
        <v>168</v>
      </c>
      <c r="J286" s="115" t="s">
        <v>19</v>
      </c>
      <c r="K286" s="115"/>
      <c r="L286" s="124" t="s">
        <v>2283</v>
      </c>
      <c r="M286" s="115"/>
      <c r="N286" s="128" t="s">
        <v>2284</v>
      </c>
      <c r="O286" s="1027">
        <v>790</v>
      </c>
      <c r="P286" s="115"/>
      <c r="Q286" s="115" t="s">
        <v>2285</v>
      </c>
      <c r="R286" s="682">
        <v>1</v>
      </c>
      <c r="S286" s="361">
        <v>4</v>
      </c>
      <c r="T286" s="361">
        <v>1</v>
      </c>
      <c r="U286" s="119">
        <v>390</v>
      </c>
      <c r="V286" s="120"/>
      <c r="W286" s="115"/>
      <c r="X286" s="115"/>
      <c r="Y286" s="115"/>
      <c r="Z286" s="115"/>
    </row>
    <row r="287" spans="1:26" ht="12" hidden="1" customHeight="1">
      <c r="A287" s="8" t="s">
        <v>102</v>
      </c>
      <c r="B287" s="8" t="s">
        <v>345</v>
      </c>
      <c r="C287" s="33">
        <v>38556</v>
      </c>
      <c r="D287" s="33">
        <v>38570</v>
      </c>
      <c r="E287" s="8" t="s">
        <v>139</v>
      </c>
      <c r="G287" s="132" t="s">
        <v>140</v>
      </c>
      <c r="H287" s="8" t="s">
        <v>141</v>
      </c>
      <c r="I287" s="8" t="s">
        <v>54</v>
      </c>
      <c r="J287" s="8" t="s">
        <v>19</v>
      </c>
      <c r="K287" s="8" t="s">
        <v>138</v>
      </c>
      <c r="N287" s="49" t="s">
        <v>142</v>
      </c>
      <c r="O287" s="1014">
        <v>2200</v>
      </c>
      <c r="R287" s="685">
        <v>2</v>
      </c>
      <c r="S287" s="132">
        <v>7</v>
      </c>
      <c r="U287" s="13" t="s">
        <v>232</v>
      </c>
    </row>
    <row r="288" spans="1:26" ht="12" hidden="1" customHeight="1">
      <c r="A288" s="20" t="s">
        <v>1347</v>
      </c>
      <c r="B288" s="21" t="s">
        <v>1346</v>
      </c>
      <c r="C288" s="30">
        <v>42098</v>
      </c>
      <c r="D288" s="30">
        <v>42112</v>
      </c>
      <c r="E288" s="21" t="s">
        <v>1349</v>
      </c>
      <c r="F288" s="21"/>
      <c r="G288" s="764" t="s">
        <v>1350</v>
      </c>
      <c r="H288" s="21" t="s">
        <v>300</v>
      </c>
      <c r="I288" s="21" t="s">
        <v>54</v>
      </c>
      <c r="J288" s="21" t="s">
        <v>19</v>
      </c>
      <c r="K288" s="21" t="s">
        <v>1351</v>
      </c>
      <c r="L288" s="21" t="s">
        <v>1352</v>
      </c>
      <c r="M288" s="21"/>
      <c r="N288" s="51" t="s">
        <v>1344</v>
      </c>
      <c r="O288" s="1013">
        <f>790+790</f>
        <v>1580</v>
      </c>
      <c r="P288" s="21"/>
      <c r="Q288" s="21" t="s">
        <v>1348</v>
      </c>
      <c r="R288" s="876">
        <v>2</v>
      </c>
      <c r="S288" s="764" t="s">
        <v>1353</v>
      </c>
      <c r="T288" s="764">
        <v>0</v>
      </c>
      <c r="U288" s="75">
        <v>395</v>
      </c>
      <c r="V288" s="84">
        <v>41968</v>
      </c>
      <c r="W288" s="78" t="s">
        <v>1345</v>
      </c>
      <c r="X288" s="21" t="s">
        <v>1154</v>
      </c>
      <c r="Y288" s="21"/>
      <c r="Z288" s="21"/>
    </row>
    <row r="289" spans="1:26" ht="12" hidden="1" customHeight="1">
      <c r="A289" s="21" t="s">
        <v>1347</v>
      </c>
      <c r="B289" s="21" t="s">
        <v>1346</v>
      </c>
      <c r="C289" s="30">
        <v>42307</v>
      </c>
      <c r="D289" s="30">
        <v>42315</v>
      </c>
      <c r="E289" s="21" t="s">
        <v>1349</v>
      </c>
      <c r="F289" s="21"/>
      <c r="G289" s="764" t="s">
        <v>1350</v>
      </c>
      <c r="H289" s="21" t="s">
        <v>300</v>
      </c>
      <c r="I289" s="21" t="s">
        <v>54</v>
      </c>
      <c r="J289" s="21" t="s">
        <v>19</v>
      </c>
      <c r="K289" s="21" t="s">
        <v>1351</v>
      </c>
      <c r="L289" s="21" t="s">
        <v>1352</v>
      </c>
      <c r="M289" s="21"/>
      <c r="N289" s="51" t="s">
        <v>1344</v>
      </c>
      <c r="O289" s="1013">
        <v>790</v>
      </c>
      <c r="P289" s="21"/>
      <c r="Q289" s="21" t="s">
        <v>1348</v>
      </c>
      <c r="R289" s="876">
        <v>1</v>
      </c>
      <c r="S289" s="764" t="s">
        <v>1451</v>
      </c>
      <c r="T289" s="764">
        <v>0</v>
      </c>
      <c r="U289" s="75">
        <v>400</v>
      </c>
      <c r="V289" s="84">
        <v>41968</v>
      </c>
      <c r="W289" s="78" t="s">
        <v>1345</v>
      </c>
      <c r="X289" s="21" t="s">
        <v>1154</v>
      </c>
      <c r="Y289" s="21"/>
      <c r="Z289" s="21"/>
    </row>
    <row r="290" spans="1:26" ht="12" hidden="1" customHeight="1">
      <c r="A290" s="21" t="s">
        <v>1391</v>
      </c>
      <c r="B290" s="21" t="s">
        <v>1392</v>
      </c>
      <c r="C290" s="30">
        <v>42063</v>
      </c>
      <c r="D290" s="30">
        <v>42070</v>
      </c>
      <c r="E290" s="21"/>
      <c r="F290" s="21"/>
      <c r="G290" s="764"/>
      <c r="H290" s="21"/>
      <c r="I290" s="21" t="s">
        <v>23</v>
      </c>
      <c r="J290" s="21" t="s">
        <v>19</v>
      </c>
      <c r="K290" s="21" t="s">
        <v>1393</v>
      </c>
      <c r="L290" s="21"/>
      <c r="M290" s="21"/>
      <c r="N290" s="50" t="s">
        <v>1394</v>
      </c>
      <c r="O290" s="1013">
        <v>600</v>
      </c>
      <c r="P290" s="21"/>
      <c r="Q290" s="21">
        <v>0</v>
      </c>
      <c r="R290" s="876">
        <v>1</v>
      </c>
      <c r="S290" s="764">
        <v>4</v>
      </c>
      <c r="T290" s="764">
        <v>0</v>
      </c>
      <c r="U290" s="75">
        <v>150</v>
      </c>
      <c r="V290" s="78">
        <v>42024</v>
      </c>
      <c r="W290" s="21" t="s">
        <v>1281</v>
      </c>
      <c r="X290" s="21" t="s">
        <v>1217</v>
      </c>
      <c r="Y290" s="21"/>
      <c r="Z290" s="21"/>
    </row>
    <row r="291" spans="1:26" ht="12" hidden="1" customHeight="1">
      <c r="A291" s="355" t="s">
        <v>1391</v>
      </c>
      <c r="B291" s="355" t="s">
        <v>1392</v>
      </c>
      <c r="C291" s="357">
        <v>43157</v>
      </c>
      <c r="D291" s="357">
        <v>43161</v>
      </c>
      <c r="E291" s="355"/>
      <c r="F291" s="355"/>
      <c r="G291" s="358"/>
      <c r="H291" s="355"/>
      <c r="I291" s="355" t="s">
        <v>23</v>
      </c>
      <c r="J291" s="355" t="s">
        <v>19</v>
      </c>
      <c r="K291" s="355" t="s">
        <v>1393</v>
      </c>
      <c r="L291" s="355"/>
      <c r="M291" s="355"/>
      <c r="N291" s="365" t="s">
        <v>1394</v>
      </c>
      <c r="O291" s="1036">
        <v>600</v>
      </c>
      <c r="P291" s="355"/>
      <c r="Q291" s="355" t="s">
        <v>1910</v>
      </c>
      <c r="R291" s="891">
        <v>1</v>
      </c>
      <c r="S291" s="358">
        <v>3</v>
      </c>
      <c r="T291" s="358">
        <v>0</v>
      </c>
      <c r="U291" s="356">
        <v>0</v>
      </c>
      <c r="V291" s="360">
        <v>42024</v>
      </c>
      <c r="W291" s="355" t="s">
        <v>1281</v>
      </c>
      <c r="X291" s="355" t="s">
        <v>1217</v>
      </c>
      <c r="Y291" s="355"/>
      <c r="Z291" s="355"/>
    </row>
    <row r="292" spans="1:26" ht="12" hidden="1" customHeight="1">
      <c r="A292" s="21" t="s">
        <v>1354</v>
      </c>
      <c r="B292" s="21" t="s">
        <v>188</v>
      </c>
      <c r="C292" s="30">
        <v>42245</v>
      </c>
      <c r="D292" s="30">
        <v>42252</v>
      </c>
      <c r="E292" s="21" t="s">
        <v>1355</v>
      </c>
      <c r="F292" s="21"/>
      <c r="G292" s="764" t="s">
        <v>1356</v>
      </c>
      <c r="H292" s="21" t="s">
        <v>1357</v>
      </c>
      <c r="I292" s="21" t="s">
        <v>54</v>
      </c>
      <c r="J292" s="21" t="s">
        <v>19</v>
      </c>
      <c r="K292" s="21" t="s">
        <v>1358</v>
      </c>
      <c r="L292" s="21" t="s">
        <v>1359</v>
      </c>
      <c r="M292" s="21"/>
      <c r="N292" s="50" t="s">
        <v>1360</v>
      </c>
      <c r="O292" s="1013">
        <v>1390</v>
      </c>
      <c r="P292" s="21"/>
      <c r="Q292" s="21" t="s">
        <v>1361</v>
      </c>
      <c r="R292" s="876">
        <v>1</v>
      </c>
      <c r="S292" s="764" t="s">
        <v>1362</v>
      </c>
      <c r="T292" s="764">
        <v>1</v>
      </c>
      <c r="U292" s="75">
        <v>374.5</v>
      </c>
      <c r="V292" s="78">
        <v>41969</v>
      </c>
      <c r="W292" s="21" t="s">
        <v>1338</v>
      </c>
      <c r="X292" s="21" t="s">
        <v>1154</v>
      </c>
      <c r="Y292" s="21"/>
      <c r="Z292" s="21"/>
    </row>
    <row r="293" spans="1:26" ht="12" hidden="1" customHeight="1">
      <c r="A293" s="21" t="s">
        <v>504</v>
      </c>
      <c r="B293" s="21" t="s">
        <v>98</v>
      </c>
      <c r="C293" s="30">
        <v>39921</v>
      </c>
      <c r="D293" s="30">
        <v>39928</v>
      </c>
      <c r="E293" s="21" t="s">
        <v>505</v>
      </c>
      <c r="F293" s="21"/>
      <c r="G293" s="764">
        <v>78200</v>
      </c>
      <c r="H293" s="21" t="s">
        <v>506</v>
      </c>
      <c r="I293" s="21" t="s">
        <v>23</v>
      </c>
      <c r="J293" s="21" t="s">
        <v>19</v>
      </c>
      <c r="K293" s="21" t="s">
        <v>507</v>
      </c>
      <c r="L293" s="21" t="s">
        <v>508</v>
      </c>
      <c r="M293" s="21"/>
      <c r="N293" s="50" t="s">
        <v>485</v>
      </c>
      <c r="O293" s="1013">
        <v>870</v>
      </c>
      <c r="P293" s="21"/>
      <c r="Q293" s="21"/>
      <c r="R293" s="876">
        <v>1</v>
      </c>
      <c r="S293" s="764">
        <v>2</v>
      </c>
      <c r="T293" s="764" t="s">
        <v>509</v>
      </c>
      <c r="U293" s="43">
        <v>200</v>
      </c>
      <c r="V293" s="21"/>
      <c r="W293" s="21"/>
      <c r="X293" s="21"/>
      <c r="Y293" s="21"/>
      <c r="Z293" s="21"/>
    </row>
    <row r="294" spans="1:26" ht="12" hidden="1" customHeight="1">
      <c r="A294" s="21" t="s">
        <v>504</v>
      </c>
      <c r="B294" s="21" t="s">
        <v>98</v>
      </c>
      <c r="C294" s="30">
        <v>39927</v>
      </c>
      <c r="D294" s="30">
        <v>39934</v>
      </c>
      <c r="E294" s="21" t="s">
        <v>505</v>
      </c>
      <c r="F294" s="21"/>
      <c r="G294" s="764">
        <v>78200</v>
      </c>
      <c r="H294" s="21" t="s">
        <v>506</v>
      </c>
      <c r="I294" s="21" t="s">
        <v>23</v>
      </c>
      <c r="J294" s="21" t="s">
        <v>19</v>
      </c>
      <c r="K294" s="21" t="s">
        <v>507</v>
      </c>
      <c r="L294" s="21" t="s">
        <v>508</v>
      </c>
      <c r="M294" s="21"/>
      <c r="N294" s="50" t="s">
        <v>485</v>
      </c>
      <c r="O294" s="1013">
        <f>820+70</f>
        <v>890</v>
      </c>
      <c r="P294" s="21"/>
      <c r="Q294" s="21" t="s">
        <v>509</v>
      </c>
      <c r="R294" s="876">
        <v>1</v>
      </c>
      <c r="S294" s="764">
        <v>2</v>
      </c>
      <c r="T294" s="764" t="s">
        <v>509</v>
      </c>
      <c r="U294" s="43">
        <v>205</v>
      </c>
      <c r="V294" s="21"/>
      <c r="W294" s="21"/>
      <c r="X294" s="21"/>
      <c r="Y294" s="21"/>
      <c r="Z294" s="21"/>
    </row>
    <row r="295" spans="1:26" ht="12" hidden="1" customHeight="1">
      <c r="A295" s="20" t="s">
        <v>504</v>
      </c>
      <c r="B295" s="21" t="s">
        <v>98</v>
      </c>
      <c r="C295" s="30">
        <v>41209</v>
      </c>
      <c r="D295" s="30">
        <v>41216</v>
      </c>
      <c r="E295" s="21" t="s">
        <v>505</v>
      </c>
      <c r="F295" s="21"/>
      <c r="G295" s="764">
        <v>78200</v>
      </c>
      <c r="H295" s="21" t="s">
        <v>506</v>
      </c>
      <c r="I295" s="21" t="s">
        <v>23</v>
      </c>
      <c r="J295" s="21" t="s">
        <v>19</v>
      </c>
      <c r="K295" s="21" t="s">
        <v>507</v>
      </c>
      <c r="L295" s="21" t="s">
        <v>508</v>
      </c>
      <c r="M295" s="21"/>
      <c r="N295" s="50" t="s">
        <v>485</v>
      </c>
      <c r="O295" s="1013">
        <f>890+70</f>
        <v>960</v>
      </c>
      <c r="P295" s="21"/>
      <c r="Q295" s="21"/>
      <c r="R295" s="876">
        <v>1</v>
      </c>
      <c r="S295" s="764">
        <v>2</v>
      </c>
      <c r="T295" s="764" t="s">
        <v>509</v>
      </c>
      <c r="U295" s="88">
        <v>223</v>
      </c>
      <c r="V295" s="78">
        <v>41102</v>
      </c>
      <c r="W295" s="21" t="s">
        <v>946</v>
      </c>
      <c r="X295" s="21"/>
      <c r="Y295" s="21"/>
      <c r="Z295" s="21"/>
    </row>
    <row r="296" spans="1:26" ht="12" hidden="1" customHeight="1">
      <c r="A296" s="61" t="s">
        <v>685</v>
      </c>
      <c r="B296" s="61" t="s">
        <v>32</v>
      </c>
      <c r="C296" s="62">
        <v>40663</v>
      </c>
      <c r="D296" s="62">
        <v>40670</v>
      </c>
      <c r="E296" s="61" t="s">
        <v>686</v>
      </c>
      <c r="F296" s="61"/>
      <c r="G296" s="802">
        <v>63450</v>
      </c>
      <c r="H296" s="61" t="s">
        <v>687</v>
      </c>
      <c r="I296" s="61" t="s">
        <v>23</v>
      </c>
      <c r="J296" s="61" t="s">
        <v>19</v>
      </c>
      <c r="K296" s="61" t="s">
        <v>688</v>
      </c>
      <c r="L296" s="61" t="s">
        <v>689</v>
      </c>
      <c r="M296" s="61"/>
      <c r="N296" s="63" t="s">
        <v>690</v>
      </c>
      <c r="O296" s="1022">
        <f>790+70</f>
        <v>860</v>
      </c>
      <c r="P296" s="61"/>
      <c r="Q296" s="61" t="s">
        <v>691</v>
      </c>
      <c r="R296" s="882">
        <v>1</v>
      </c>
      <c r="S296" s="802">
        <v>3</v>
      </c>
      <c r="T296" s="802">
        <v>0</v>
      </c>
      <c r="U296" s="65">
        <v>198</v>
      </c>
      <c r="V296" s="61"/>
      <c r="W296" s="61"/>
      <c r="X296" s="61"/>
      <c r="Y296" s="61"/>
      <c r="Z296" s="61"/>
    </row>
    <row r="297" spans="1:26" ht="12" hidden="1" customHeight="1">
      <c r="A297" s="21" t="s">
        <v>601</v>
      </c>
      <c r="B297" s="21" t="s">
        <v>347</v>
      </c>
      <c r="C297" s="30">
        <v>40320</v>
      </c>
      <c r="D297" s="30">
        <v>40327</v>
      </c>
      <c r="E297" s="21" t="s">
        <v>348</v>
      </c>
      <c r="F297" s="21"/>
      <c r="G297" s="764" t="s">
        <v>349</v>
      </c>
      <c r="H297" s="21" t="s">
        <v>350</v>
      </c>
      <c r="I297" s="21" t="s">
        <v>54</v>
      </c>
      <c r="J297" s="21" t="s">
        <v>19</v>
      </c>
      <c r="K297" s="21"/>
      <c r="L297" s="21" t="s">
        <v>351</v>
      </c>
      <c r="M297" s="21"/>
      <c r="N297" s="50" t="s">
        <v>352</v>
      </c>
      <c r="O297" s="1020">
        <f>790+70</f>
        <v>860</v>
      </c>
      <c r="P297" s="21"/>
      <c r="Q297" s="21" t="s">
        <v>612</v>
      </c>
      <c r="R297" s="876">
        <v>1</v>
      </c>
      <c r="S297" s="764">
        <v>6</v>
      </c>
      <c r="T297" s="764">
        <v>1</v>
      </c>
      <c r="U297" s="47">
        <f>O297/4</f>
        <v>215</v>
      </c>
      <c r="V297" s="21"/>
      <c r="W297" s="21"/>
      <c r="X297" s="21"/>
      <c r="Y297" s="21"/>
      <c r="Z297" s="21"/>
    </row>
    <row r="298" spans="1:26" ht="12" hidden="1" customHeight="1">
      <c r="A298" s="61" t="s">
        <v>601</v>
      </c>
      <c r="B298" s="61" t="s">
        <v>347</v>
      </c>
      <c r="C298" s="62">
        <v>40690</v>
      </c>
      <c r="D298" s="62">
        <v>40698</v>
      </c>
      <c r="E298" s="61" t="s">
        <v>348</v>
      </c>
      <c r="F298" s="61"/>
      <c r="G298" s="802" t="s">
        <v>349</v>
      </c>
      <c r="H298" s="61" t="s">
        <v>350</v>
      </c>
      <c r="I298" s="61" t="s">
        <v>54</v>
      </c>
      <c r="J298" s="61" t="s">
        <v>19</v>
      </c>
      <c r="K298" s="61"/>
      <c r="L298" s="61" t="s">
        <v>351</v>
      </c>
      <c r="M298" s="61"/>
      <c r="N298" s="63" t="s">
        <v>352</v>
      </c>
      <c r="O298" s="1022">
        <f>890+70</f>
        <v>960</v>
      </c>
      <c r="P298" s="61"/>
      <c r="Q298" s="61" t="s">
        <v>766</v>
      </c>
      <c r="R298" s="882">
        <v>1</v>
      </c>
      <c r="S298" s="802">
        <v>6</v>
      </c>
      <c r="T298" s="802">
        <v>1</v>
      </c>
      <c r="U298" s="65">
        <v>222.5</v>
      </c>
      <c r="V298" s="61"/>
      <c r="W298" s="61"/>
      <c r="X298" s="61"/>
      <c r="Y298" s="61"/>
      <c r="Z298" s="61"/>
    </row>
    <row r="299" spans="1:26" ht="12" hidden="1" customHeight="1">
      <c r="A299" s="115" t="s">
        <v>601</v>
      </c>
      <c r="B299" s="115" t="s">
        <v>347</v>
      </c>
      <c r="C299" s="116">
        <v>42889</v>
      </c>
      <c r="D299" s="116">
        <v>42896</v>
      </c>
      <c r="E299" s="115" t="s">
        <v>348</v>
      </c>
      <c r="F299" s="115"/>
      <c r="G299" s="361" t="s">
        <v>349</v>
      </c>
      <c r="H299" s="115" t="s">
        <v>350</v>
      </c>
      <c r="I299" s="115" t="s">
        <v>54</v>
      </c>
      <c r="J299" s="115" t="s">
        <v>19</v>
      </c>
      <c r="K299" s="115"/>
      <c r="L299" s="115" t="s">
        <v>351</v>
      </c>
      <c r="M299" s="115"/>
      <c r="N299" s="128" t="s">
        <v>352</v>
      </c>
      <c r="O299" s="1033">
        <v>1090</v>
      </c>
      <c r="P299" s="115"/>
      <c r="Q299" s="115" t="s">
        <v>1679</v>
      </c>
      <c r="R299" s="682">
        <v>1</v>
      </c>
      <c r="S299" s="361">
        <v>6</v>
      </c>
      <c r="T299" s="361">
        <v>1</v>
      </c>
      <c r="U299" s="859">
        <v>275</v>
      </c>
      <c r="V299" s="115"/>
      <c r="W299" s="115" t="s">
        <v>1519</v>
      </c>
      <c r="X299" s="115"/>
      <c r="Y299" s="115"/>
      <c r="Z299" s="115"/>
    </row>
    <row r="300" spans="1:26" ht="12" hidden="1" customHeight="1">
      <c r="A300" s="8" t="s">
        <v>346</v>
      </c>
      <c r="B300" s="8" t="s">
        <v>347</v>
      </c>
      <c r="C300" s="33">
        <v>38486</v>
      </c>
      <c r="D300" s="33">
        <v>38493</v>
      </c>
      <c r="E300" s="8" t="s">
        <v>348</v>
      </c>
      <c r="G300" s="132" t="s">
        <v>349</v>
      </c>
      <c r="H300" s="8" t="s">
        <v>350</v>
      </c>
      <c r="I300" s="8" t="s">
        <v>54</v>
      </c>
      <c r="J300" s="8" t="s">
        <v>19</v>
      </c>
      <c r="L300" s="8" t="s">
        <v>351</v>
      </c>
      <c r="N300" s="49" t="s">
        <v>352</v>
      </c>
      <c r="O300" s="1015">
        <v>460</v>
      </c>
      <c r="Q300" s="8" t="s">
        <v>353</v>
      </c>
      <c r="R300" s="685">
        <v>1</v>
      </c>
      <c r="S300" s="132">
        <v>6</v>
      </c>
      <c r="T300" s="132">
        <v>1</v>
      </c>
      <c r="U300" s="13"/>
    </row>
    <row r="301" spans="1:26" ht="12" hidden="1" customHeight="1">
      <c r="A301" s="21" t="s">
        <v>1245</v>
      </c>
      <c r="B301" s="21" t="s">
        <v>1246</v>
      </c>
      <c r="C301" s="30">
        <v>41699</v>
      </c>
      <c r="D301" s="30">
        <v>41706</v>
      </c>
      <c r="E301" s="21" t="s">
        <v>1248</v>
      </c>
      <c r="F301" s="21"/>
      <c r="G301" s="764">
        <v>60400</v>
      </c>
      <c r="H301" s="21" t="s">
        <v>1249</v>
      </c>
      <c r="I301" s="21" t="s">
        <v>23</v>
      </c>
      <c r="J301" s="21" t="s">
        <v>19</v>
      </c>
      <c r="K301" s="21" t="s">
        <v>1247</v>
      </c>
      <c r="L301" s="21"/>
      <c r="M301" s="21"/>
      <c r="N301" s="50" t="s">
        <v>1250</v>
      </c>
      <c r="O301" s="1013">
        <v>600</v>
      </c>
      <c r="P301" s="21"/>
      <c r="Q301" s="21"/>
      <c r="R301" s="876">
        <v>1</v>
      </c>
      <c r="S301" s="764">
        <v>6</v>
      </c>
      <c r="T301" s="764">
        <v>0</v>
      </c>
      <c r="U301" s="88"/>
      <c r="V301" s="78">
        <v>41685</v>
      </c>
      <c r="W301" s="21"/>
      <c r="X301" s="21" t="s">
        <v>1217</v>
      </c>
      <c r="Y301" s="21"/>
      <c r="Z301" s="21"/>
    </row>
    <row r="302" spans="1:26" ht="12" hidden="1" customHeight="1">
      <c r="A302" s="21" t="s">
        <v>621</v>
      </c>
      <c r="B302" s="21" t="s">
        <v>622</v>
      </c>
      <c r="C302" s="30">
        <v>40376</v>
      </c>
      <c r="D302" s="30">
        <v>40390</v>
      </c>
      <c r="E302" s="21" t="s">
        <v>630</v>
      </c>
      <c r="F302" s="21"/>
      <c r="G302" s="764">
        <v>6005</v>
      </c>
      <c r="H302" s="21" t="s">
        <v>631</v>
      </c>
      <c r="I302" s="21" t="s">
        <v>168</v>
      </c>
      <c r="J302" s="21" t="s">
        <v>19</v>
      </c>
      <c r="K302" s="21" t="s">
        <v>624</v>
      </c>
      <c r="L302" s="21"/>
      <c r="M302" s="21"/>
      <c r="N302" s="51" t="s">
        <v>623</v>
      </c>
      <c r="O302" s="1020">
        <f>3000+70</f>
        <v>3070</v>
      </c>
      <c r="P302" s="21"/>
      <c r="Q302" s="21" t="s">
        <v>629</v>
      </c>
      <c r="R302" s="876">
        <v>2</v>
      </c>
      <c r="S302" s="764">
        <v>4</v>
      </c>
      <c r="T302" s="764">
        <v>0</v>
      </c>
      <c r="U302" s="47">
        <v>750</v>
      </c>
      <c r="V302" s="21"/>
      <c r="W302" s="21"/>
      <c r="X302" s="21"/>
      <c r="Y302" s="21"/>
      <c r="Z302" s="21"/>
    </row>
    <row r="303" spans="1:26" ht="12" hidden="1" customHeight="1">
      <c r="A303" s="355" t="s">
        <v>1884</v>
      </c>
      <c r="B303" s="355" t="s">
        <v>256</v>
      </c>
      <c r="C303" s="357">
        <v>43288</v>
      </c>
      <c r="D303" s="357">
        <v>43302</v>
      </c>
      <c r="E303" s="355" t="s">
        <v>1885</v>
      </c>
      <c r="F303" s="355"/>
      <c r="G303" s="358" t="s">
        <v>1886</v>
      </c>
      <c r="H303" s="355" t="s">
        <v>1887</v>
      </c>
      <c r="I303" s="355" t="s">
        <v>168</v>
      </c>
      <c r="J303" s="355" t="s">
        <v>19</v>
      </c>
      <c r="K303" s="355" t="s">
        <v>1889</v>
      </c>
      <c r="L303" s="355" t="s">
        <v>1888</v>
      </c>
      <c r="M303" s="355"/>
      <c r="N303" s="365" t="s">
        <v>1890</v>
      </c>
      <c r="O303" s="1036">
        <v>3380</v>
      </c>
      <c r="P303" s="355"/>
      <c r="Q303" s="355" t="s">
        <v>1891</v>
      </c>
      <c r="R303" s="891">
        <v>2</v>
      </c>
      <c r="S303" s="358">
        <v>4</v>
      </c>
      <c r="T303" s="358">
        <v>2</v>
      </c>
      <c r="U303" s="478" t="s">
        <v>1832</v>
      </c>
      <c r="V303" s="360">
        <v>43092</v>
      </c>
      <c r="W303" s="355" t="s">
        <v>1769</v>
      </c>
      <c r="X303" s="355" t="s">
        <v>1154</v>
      </c>
      <c r="Y303" s="355"/>
      <c r="Z303" s="355"/>
    </row>
    <row r="304" spans="1:26" ht="12" hidden="1" customHeight="1" thickBot="1">
      <c r="A304" s="21" t="s">
        <v>1538</v>
      </c>
      <c r="B304" s="21" t="s">
        <v>1539</v>
      </c>
      <c r="C304" s="30">
        <v>42427</v>
      </c>
      <c r="D304" s="30">
        <v>42434</v>
      </c>
      <c r="E304" s="21" t="s">
        <v>1535</v>
      </c>
      <c r="F304" s="21"/>
      <c r="G304" s="764">
        <v>75019</v>
      </c>
      <c r="H304" s="21" t="s">
        <v>1540</v>
      </c>
      <c r="I304" s="21" t="s">
        <v>983</v>
      </c>
      <c r="J304" s="21" t="s">
        <v>19</v>
      </c>
      <c r="K304" s="21" t="s">
        <v>1537</v>
      </c>
      <c r="L304" s="21" t="s">
        <v>1536</v>
      </c>
      <c r="M304" s="21"/>
      <c r="N304" s="128" t="s">
        <v>1652</v>
      </c>
      <c r="O304" s="1013">
        <f>690+70</f>
        <v>760</v>
      </c>
      <c r="P304" s="21"/>
      <c r="Q304" s="21" t="s">
        <v>1542</v>
      </c>
      <c r="R304" s="876">
        <v>1</v>
      </c>
      <c r="S304" s="764">
        <v>5</v>
      </c>
      <c r="T304" s="764">
        <v>0</v>
      </c>
      <c r="U304" s="1367">
        <v>0</v>
      </c>
      <c r="V304" s="78"/>
      <c r="W304" s="21" t="s">
        <v>1543</v>
      </c>
      <c r="X304" s="21"/>
      <c r="Y304" s="21"/>
      <c r="Z304" s="21"/>
    </row>
    <row r="305" spans="1:26" ht="12" hidden="1" customHeight="1" thickBot="1">
      <c r="A305" s="38" t="s">
        <v>873</v>
      </c>
      <c r="B305" s="1269" t="s">
        <v>874</v>
      </c>
      <c r="C305" s="30">
        <v>40978</v>
      </c>
      <c r="D305" s="1306">
        <v>40985</v>
      </c>
      <c r="E305" s="1269" t="s">
        <v>888</v>
      </c>
      <c r="F305" s="21"/>
      <c r="G305" s="764">
        <v>76190</v>
      </c>
      <c r="H305" s="21" t="s">
        <v>889</v>
      </c>
      <c r="I305" s="21" t="s">
        <v>23</v>
      </c>
      <c r="J305" s="21" t="s">
        <v>19</v>
      </c>
      <c r="K305" s="21" t="s">
        <v>891</v>
      </c>
      <c r="L305" s="21" t="s">
        <v>890</v>
      </c>
      <c r="M305" s="21"/>
      <c r="N305" s="50" t="s">
        <v>871</v>
      </c>
      <c r="O305" s="1013">
        <v>690</v>
      </c>
      <c r="P305" s="21"/>
      <c r="Q305" s="21"/>
      <c r="R305" s="876">
        <v>1</v>
      </c>
      <c r="S305" s="764" t="s">
        <v>353</v>
      </c>
      <c r="T305" s="764">
        <v>0</v>
      </c>
      <c r="U305" s="1367">
        <v>172.25</v>
      </c>
      <c r="V305" s="79">
        <f>O305-U305</f>
        <v>517.75</v>
      </c>
      <c r="W305" s="21" t="s">
        <v>872</v>
      </c>
      <c r="X305" s="21"/>
      <c r="Y305" s="21"/>
      <c r="Z305" s="21"/>
    </row>
    <row r="306" spans="1:26" ht="12" hidden="1" customHeight="1" thickBot="1">
      <c r="A306" s="56" t="s">
        <v>377</v>
      </c>
      <c r="B306" s="1271" t="s">
        <v>378</v>
      </c>
      <c r="C306" s="1293">
        <v>39634</v>
      </c>
      <c r="D306" s="1310">
        <v>39648</v>
      </c>
      <c r="E306" s="1331" t="s">
        <v>379</v>
      </c>
      <c r="F306" s="21">
        <v>1273</v>
      </c>
      <c r="G306" s="764">
        <v>1273</v>
      </c>
      <c r="H306" s="21" t="s">
        <v>380</v>
      </c>
      <c r="I306" s="21" t="s">
        <v>168</v>
      </c>
      <c r="J306" s="21" t="s">
        <v>19</v>
      </c>
      <c r="K306" s="21"/>
      <c r="L306" s="21" t="s">
        <v>381</v>
      </c>
      <c r="M306" s="21"/>
      <c r="N306" s="50" t="s">
        <v>382</v>
      </c>
      <c r="O306" s="1013">
        <v>2800</v>
      </c>
      <c r="P306" s="21"/>
      <c r="Q306" s="21"/>
      <c r="R306" s="876">
        <v>2</v>
      </c>
      <c r="S306" s="764">
        <v>4</v>
      </c>
      <c r="T306" s="764"/>
      <c r="U306" s="1364">
        <v>700</v>
      </c>
      <c r="V306" s="21"/>
      <c r="W306" s="21"/>
      <c r="X306" s="21"/>
      <c r="Y306" s="21"/>
      <c r="Z306" s="21"/>
    </row>
    <row r="307" spans="1:26" ht="12" hidden="1" customHeight="1" thickBot="1">
      <c r="A307" s="21" t="s">
        <v>1106</v>
      </c>
      <c r="B307" s="21"/>
      <c r="C307" s="30">
        <v>41378</v>
      </c>
      <c r="D307" s="1310">
        <v>41388</v>
      </c>
      <c r="E307" s="1331" t="s">
        <v>1107</v>
      </c>
      <c r="F307" s="21"/>
      <c r="G307" s="764">
        <v>78120</v>
      </c>
      <c r="H307" s="21" t="s">
        <v>1108</v>
      </c>
      <c r="I307" s="21" t="s">
        <v>23</v>
      </c>
      <c r="J307" s="21" t="s">
        <v>19</v>
      </c>
      <c r="K307" s="21"/>
      <c r="L307" s="21" t="s">
        <v>1109</v>
      </c>
      <c r="M307" s="21"/>
      <c r="N307" s="50" t="s">
        <v>1110</v>
      </c>
      <c r="O307" s="1013">
        <f>790+790/2</f>
        <v>1185</v>
      </c>
      <c r="P307" s="21"/>
      <c r="Q307" s="21" t="s">
        <v>1111</v>
      </c>
      <c r="R307" s="876">
        <v>2</v>
      </c>
      <c r="S307" s="764"/>
      <c r="T307" s="764">
        <v>1</v>
      </c>
      <c r="U307" s="1367">
        <v>385</v>
      </c>
      <c r="V307" s="78">
        <v>41339</v>
      </c>
      <c r="W307" s="21"/>
      <c r="X307" s="21"/>
      <c r="Y307" s="21"/>
      <c r="Z307" s="21"/>
    </row>
    <row r="308" spans="1:26" ht="12" hidden="1" customHeight="1" thickBot="1">
      <c r="A308" s="618" t="s">
        <v>2911</v>
      </c>
      <c r="B308" s="633" t="s">
        <v>2912</v>
      </c>
      <c r="C308" s="357">
        <v>44289</v>
      </c>
      <c r="D308" s="565">
        <v>44310</v>
      </c>
      <c r="E308" s="576" t="s">
        <v>2913</v>
      </c>
      <c r="F308" s="355"/>
      <c r="G308" s="358">
        <v>75008</v>
      </c>
      <c r="H308" s="355" t="s">
        <v>2914</v>
      </c>
      <c r="I308" s="355" t="s">
        <v>103</v>
      </c>
      <c r="J308" s="355" t="s">
        <v>19</v>
      </c>
      <c r="K308" s="368"/>
      <c r="L308" s="355" t="s">
        <v>2915</v>
      </c>
      <c r="M308" s="355"/>
      <c r="N308" s="365" t="s">
        <v>2916</v>
      </c>
      <c r="O308" s="1036">
        <f>890*3*0.8</f>
        <v>2136</v>
      </c>
      <c r="P308" s="355"/>
      <c r="Q308" s="355" t="s">
        <v>2917</v>
      </c>
      <c r="R308" s="891">
        <v>3</v>
      </c>
      <c r="S308" s="358">
        <v>5</v>
      </c>
      <c r="T308" s="358">
        <v>1</v>
      </c>
      <c r="U308" s="355"/>
      <c r="V308" s="355">
        <v>44288</v>
      </c>
      <c r="W308" s="355" t="s">
        <v>2884</v>
      </c>
      <c r="X308" s="355" t="s">
        <v>2918</v>
      </c>
      <c r="Y308" s="355"/>
      <c r="Z308" s="355"/>
    </row>
    <row r="309" spans="1:26" ht="12" hidden="1" customHeight="1" thickBot="1">
      <c r="A309" s="21" t="s">
        <v>1228</v>
      </c>
      <c r="B309" s="21" t="s">
        <v>1229</v>
      </c>
      <c r="C309" s="30">
        <v>41888</v>
      </c>
      <c r="D309" s="1310">
        <v>41895</v>
      </c>
      <c r="E309" s="1331" t="s">
        <v>1230</v>
      </c>
      <c r="F309" s="21"/>
      <c r="G309" s="764" t="s">
        <v>1231</v>
      </c>
      <c r="H309" s="21" t="s">
        <v>1232</v>
      </c>
      <c r="I309" s="21" t="s">
        <v>36</v>
      </c>
      <c r="J309" s="21" t="s">
        <v>19</v>
      </c>
      <c r="K309" s="21"/>
      <c r="L309" s="21" t="s">
        <v>1233</v>
      </c>
      <c r="M309" s="21"/>
      <c r="N309" s="50" t="s">
        <v>1234</v>
      </c>
      <c r="O309" s="1013">
        <v>1190</v>
      </c>
      <c r="P309" s="21"/>
      <c r="Q309" s="21" t="s">
        <v>1235</v>
      </c>
      <c r="R309" s="876">
        <v>1</v>
      </c>
      <c r="S309" s="764"/>
      <c r="T309" s="764">
        <v>0</v>
      </c>
      <c r="U309" s="1367">
        <f>300</f>
        <v>300</v>
      </c>
      <c r="V309" s="78">
        <v>41659</v>
      </c>
      <c r="W309" s="21"/>
      <c r="X309" s="21" t="s">
        <v>1154</v>
      </c>
      <c r="Y309" s="21"/>
      <c r="Z309" s="21"/>
    </row>
    <row r="310" spans="1:26" ht="12" hidden="1" customHeight="1" thickBot="1">
      <c r="A310" s="517" t="s">
        <v>2254</v>
      </c>
      <c r="B310" s="539" t="s">
        <v>2253</v>
      </c>
      <c r="C310" s="116">
        <v>43603</v>
      </c>
      <c r="D310" s="568">
        <v>43610</v>
      </c>
      <c r="E310" s="535" t="s">
        <v>2255</v>
      </c>
      <c r="F310" s="115"/>
      <c r="G310" s="361" t="s">
        <v>2256</v>
      </c>
      <c r="H310" s="364" t="s">
        <v>2257</v>
      </c>
      <c r="I310" s="115" t="s">
        <v>18</v>
      </c>
      <c r="J310" s="115" t="s">
        <v>19</v>
      </c>
      <c r="K310" s="115"/>
      <c r="L310" s="124" t="s">
        <v>2258</v>
      </c>
      <c r="M310" s="115"/>
      <c r="N310" s="128" t="s">
        <v>2259</v>
      </c>
      <c r="O310" s="1027">
        <v>990</v>
      </c>
      <c r="P310" s="115"/>
      <c r="Q310" s="115" t="s">
        <v>2260</v>
      </c>
      <c r="R310" s="682">
        <v>1</v>
      </c>
      <c r="S310" s="361">
        <v>4</v>
      </c>
      <c r="T310" s="361">
        <v>1</v>
      </c>
      <c r="U310" s="129">
        <v>250</v>
      </c>
      <c r="V310" s="115">
        <v>43550</v>
      </c>
      <c r="W310" s="120" t="s">
        <v>1477</v>
      </c>
      <c r="X310" s="115"/>
      <c r="Y310" s="115"/>
      <c r="Z310" s="115"/>
    </row>
    <row r="311" spans="1:26" ht="12" hidden="1" customHeight="1" thickBot="1">
      <c r="A311" s="56" t="s">
        <v>474</v>
      </c>
      <c r="B311" s="1271" t="s">
        <v>473</v>
      </c>
      <c r="C311" s="30">
        <v>39746</v>
      </c>
      <c r="D311" s="1319">
        <v>39753</v>
      </c>
      <c r="E311" s="1271"/>
      <c r="F311" s="21"/>
      <c r="G311" s="764"/>
      <c r="H311" s="21"/>
      <c r="I311" s="21" t="s">
        <v>23</v>
      </c>
      <c r="J311" s="21" t="s">
        <v>19</v>
      </c>
      <c r="K311" s="21" t="s">
        <v>475</v>
      </c>
      <c r="L311" s="21"/>
      <c r="M311" s="21" t="s">
        <v>476</v>
      </c>
      <c r="N311" s="50" t="s">
        <v>472</v>
      </c>
      <c r="O311" s="1013">
        <v>800</v>
      </c>
      <c r="P311" s="21"/>
      <c r="Q311" s="21"/>
      <c r="R311" s="876">
        <v>1</v>
      </c>
      <c r="S311" s="764">
        <v>4</v>
      </c>
      <c r="T311" s="764">
        <v>1</v>
      </c>
      <c r="U311" s="1364">
        <v>200</v>
      </c>
      <c r="V311" s="21"/>
      <c r="W311" s="21"/>
      <c r="X311" s="21"/>
      <c r="Y311" s="21"/>
      <c r="Z311" s="21"/>
    </row>
    <row r="312" spans="1:26" ht="12" hidden="1" customHeight="1">
      <c r="A312" s="21" t="s">
        <v>527</v>
      </c>
      <c r="B312" s="21" t="s">
        <v>528</v>
      </c>
      <c r="C312" s="30">
        <v>40061</v>
      </c>
      <c r="D312" s="30">
        <v>40068</v>
      </c>
      <c r="E312" s="21" t="s">
        <v>529</v>
      </c>
      <c r="F312" s="21"/>
      <c r="G312" s="764">
        <v>54595</v>
      </c>
      <c r="H312" s="21" t="s">
        <v>530</v>
      </c>
      <c r="I312" s="21" t="s">
        <v>18</v>
      </c>
      <c r="J312" s="21" t="s">
        <v>19</v>
      </c>
      <c r="K312" s="21"/>
      <c r="L312" s="21" t="s">
        <v>531</v>
      </c>
      <c r="M312" s="21"/>
      <c r="N312" s="50" t="s">
        <v>532</v>
      </c>
      <c r="O312" s="1013">
        <f>1100+42+70</f>
        <v>1212</v>
      </c>
      <c r="P312" s="21"/>
      <c r="Q312" s="21">
        <v>4</v>
      </c>
      <c r="R312" s="876">
        <v>1</v>
      </c>
      <c r="S312" s="764">
        <v>4</v>
      </c>
      <c r="T312" s="764">
        <v>2</v>
      </c>
      <c r="U312" s="1357">
        <v>275</v>
      </c>
      <c r="V312" s="21"/>
      <c r="W312" s="21"/>
      <c r="X312" s="21"/>
      <c r="Y312" s="21"/>
      <c r="Z312" s="21"/>
    </row>
    <row r="313" spans="1:26" ht="12" hidden="1" customHeight="1">
      <c r="A313" s="115" t="s">
        <v>2265</v>
      </c>
      <c r="B313" s="115" t="s">
        <v>2264</v>
      </c>
      <c r="C313" s="116">
        <v>43694</v>
      </c>
      <c r="D313" s="116">
        <v>43708</v>
      </c>
      <c r="E313" s="115" t="s">
        <v>2266</v>
      </c>
      <c r="F313" s="115"/>
      <c r="G313" s="361" t="s">
        <v>2267</v>
      </c>
      <c r="H313" s="115" t="s">
        <v>2268</v>
      </c>
      <c r="I313" s="115" t="s">
        <v>54</v>
      </c>
      <c r="J313" s="115" t="s">
        <v>19</v>
      </c>
      <c r="K313" s="115"/>
      <c r="L313" s="115" t="s">
        <v>2269</v>
      </c>
      <c r="M313" s="115"/>
      <c r="N313" s="128" t="s">
        <v>2270</v>
      </c>
      <c r="O313" s="1027">
        <v>3680</v>
      </c>
      <c r="P313" s="115"/>
      <c r="Q313" s="115" t="s">
        <v>599</v>
      </c>
      <c r="R313" s="682">
        <v>2</v>
      </c>
      <c r="S313" s="361">
        <v>3</v>
      </c>
      <c r="T313" s="361">
        <v>2</v>
      </c>
      <c r="U313" s="598">
        <v>920</v>
      </c>
      <c r="V313" s="120">
        <v>43559</v>
      </c>
      <c r="W313" s="115" t="s">
        <v>1477</v>
      </c>
      <c r="X313" s="115"/>
      <c r="Y313" s="115"/>
      <c r="Z313" s="115"/>
    </row>
    <row r="314" spans="1:26" ht="12" hidden="1" customHeight="1">
      <c r="A314" s="21" t="s">
        <v>415</v>
      </c>
      <c r="B314" s="21" t="s">
        <v>706</v>
      </c>
      <c r="C314" s="30">
        <v>39557</v>
      </c>
      <c r="D314" s="30">
        <v>39564</v>
      </c>
      <c r="E314" s="21" t="s">
        <v>411</v>
      </c>
      <c r="F314" s="21"/>
      <c r="G314" s="764">
        <v>78690</v>
      </c>
      <c r="H314" s="21"/>
      <c r="I314" s="21" t="s">
        <v>23</v>
      </c>
      <c r="J314" s="21" t="s">
        <v>19</v>
      </c>
      <c r="K314" s="21" t="s">
        <v>412</v>
      </c>
      <c r="L314" s="21" t="s">
        <v>414</v>
      </c>
      <c r="M314" s="21"/>
      <c r="N314" s="50"/>
      <c r="O314" s="1013">
        <v>898</v>
      </c>
      <c r="P314" s="21"/>
      <c r="Q314" s="21" t="s">
        <v>419</v>
      </c>
      <c r="R314" s="876">
        <v>1</v>
      </c>
      <c r="S314" s="764">
        <v>6</v>
      </c>
      <c r="T314" s="764"/>
      <c r="U314" s="1364">
        <v>200</v>
      </c>
      <c r="V314" s="21"/>
      <c r="W314" s="21"/>
      <c r="X314" s="21"/>
      <c r="Y314" s="21"/>
      <c r="Z314" s="21"/>
    </row>
    <row r="315" spans="1:26" ht="12" hidden="1" customHeight="1">
      <c r="A315" s="21" t="s">
        <v>383</v>
      </c>
      <c r="B315" s="21" t="s">
        <v>388</v>
      </c>
      <c r="C315" s="30">
        <v>39648</v>
      </c>
      <c r="D315" s="30">
        <v>39669</v>
      </c>
      <c r="E315" s="21" t="s">
        <v>384</v>
      </c>
      <c r="F315" s="21"/>
      <c r="G315" s="764">
        <v>94300</v>
      </c>
      <c r="H315" s="21" t="s">
        <v>385</v>
      </c>
      <c r="I315" s="21" t="s">
        <v>23</v>
      </c>
      <c r="J315" s="21" t="s">
        <v>19</v>
      </c>
      <c r="K315" s="21" t="s">
        <v>386</v>
      </c>
      <c r="L315" s="21" t="s">
        <v>387</v>
      </c>
      <c r="M315" s="21"/>
      <c r="N315" s="51"/>
      <c r="O315" s="1013">
        <v>4250</v>
      </c>
      <c r="P315" s="21"/>
      <c r="Q315" s="21"/>
      <c r="R315" s="876">
        <v>3</v>
      </c>
      <c r="S315" s="764">
        <v>5</v>
      </c>
      <c r="T315" s="764"/>
      <c r="U315" s="1364">
        <v>1036</v>
      </c>
      <c r="V315" s="21"/>
      <c r="W315" s="21"/>
      <c r="X315" s="21"/>
      <c r="Y315" s="21"/>
      <c r="Z315" s="21"/>
    </row>
    <row r="316" spans="1:26" ht="12" hidden="1" customHeight="1">
      <c r="A316" s="21" t="s">
        <v>389</v>
      </c>
      <c r="B316" s="21" t="s">
        <v>394</v>
      </c>
      <c r="C316" s="30">
        <v>39669</v>
      </c>
      <c r="D316" s="30">
        <v>39683</v>
      </c>
      <c r="E316" s="21" t="s">
        <v>390</v>
      </c>
      <c r="F316" s="21"/>
      <c r="G316" s="764">
        <v>59370</v>
      </c>
      <c r="H316" s="21" t="s">
        <v>391</v>
      </c>
      <c r="I316" s="21" t="s">
        <v>23</v>
      </c>
      <c r="J316" s="21" t="s">
        <v>19</v>
      </c>
      <c r="K316" s="21" t="s">
        <v>392</v>
      </c>
      <c r="L316" s="21"/>
      <c r="M316" s="21"/>
      <c r="N316" s="51"/>
      <c r="O316" s="1013">
        <v>3000</v>
      </c>
      <c r="P316" s="21"/>
      <c r="Q316" s="21"/>
      <c r="R316" s="876">
        <v>2</v>
      </c>
      <c r="S316" s="764">
        <v>4</v>
      </c>
      <c r="T316" s="764">
        <v>1</v>
      </c>
      <c r="U316" s="1364">
        <v>750</v>
      </c>
      <c r="V316" s="21"/>
      <c r="W316" s="21"/>
      <c r="X316" s="21"/>
      <c r="Y316" s="21"/>
      <c r="Z316" s="21"/>
    </row>
    <row r="317" spans="1:26" ht="12" hidden="1" customHeight="1">
      <c r="A317" s="21" t="s">
        <v>444</v>
      </c>
      <c r="B317" s="21" t="s">
        <v>256</v>
      </c>
      <c r="C317" s="30">
        <v>39724</v>
      </c>
      <c r="D317" s="30">
        <v>39738</v>
      </c>
      <c r="E317" s="21"/>
      <c r="F317" s="21"/>
      <c r="G317" s="764"/>
      <c r="H317" s="21"/>
      <c r="I317" s="21" t="s">
        <v>18</v>
      </c>
      <c r="J317" s="21" t="s">
        <v>19</v>
      </c>
      <c r="K317" s="21"/>
      <c r="L317" s="21"/>
      <c r="M317" s="21"/>
      <c r="N317" s="50"/>
      <c r="O317" s="1013">
        <v>1642</v>
      </c>
      <c r="P317" s="21"/>
      <c r="Q317" s="21"/>
      <c r="R317" s="876">
        <v>2</v>
      </c>
      <c r="S317" s="764">
        <v>5</v>
      </c>
      <c r="T317" s="764">
        <v>1</v>
      </c>
      <c r="U317" s="1364">
        <v>400</v>
      </c>
      <c r="V317" s="21"/>
      <c r="W317" s="21"/>
      <c r="X317" s="21"/>
      <c r="Y317" s="21"/>
      <c r="Z317" s="21"/>
    </row>
    <row r="318" spans="1:26" ht="12" hidden="1" customHeight="1">
      <c r="A318" s="21" t="s">
        <v>453</v>
      </c>
      <c r="B318" s="21" t="s">
        <v>454</v>
      </c>
      <c r="C318" s="30">
        <v>39809</v>
      </c>
      <c r="D318" s="30">
        <v>39816</v>
      </c>
      <c r="E318" s="21" t="s">
        <v>455</v>
      </c>
      <c r="F318" s="21"/>
      <c r="G318" s="764" t="s">
        <v>457</v>
      </c>
      <c r="H318" s="21" t="s">
        <v>456</v>
      </c>
      <c r="I318" s="21" t="s">
        <v>168</v>
      </c>
      <c r="J318" s="21" t="s">
        <v>19</v>
      </c>
      <c r="K318" s="21" t="s">
        <v>458</v>
      </c>
      <c r="L318" s="21" t="s">
        <v>460</v>
      </c>
      <c r="M318" s="21" t="s">
        <v>459</v>
      </c>
      <c r="N318" s="50"/>
      <c r="O318" s="1013">
        <v>1150</v>
      </c>
      <c r="P318" s="21"/>
      <c r="Q318" s="21"/>
      <c r="R318" s="876">
        <v>1</v>
      </c>
      <c r="S318" s="764">
        <v>2</v>
      </c>
      <c r="T318" s="764"/>
      <c r="U318" s="1364">
        <v>285</v>
      </c>
      <c r="V318" s="21"/>
      <c r="W318" s="21"/>
      <c r="X318" s="21"/>
      <c r="Y318" s="21"/>
      <c r="Z318" s="21"/>
    </row>
    <row r="319" spans="1:26" ht="12" hidden="1" customHeight="1">
      <c r="A319" s="21" t="s">
        <v>640</v>
      </c>
      <c r="B319" s="21" t="s">
        <v>641</v>
      </c>
      <c r="C319" s="30">
        <v>40299</v>
      </c>
      <c r="D319" s="30">
        <v>40303</v>
      </c>
      <c r="E319" s="21"/>
      <c r="F319" s="21"/>
      <c r="G319" s="764"/>
      <c r="H319" s="21"/>
      <c r="I319" s="21" t="s">
        <v>642</v>
      </c>
      <c r="J319" s="21" t="s">
        <v>19</v>
      </c>
      <c r="K319" s="21"/>
      <c r="L319" s="21"/>
      <c r="M319" s="21"/>
      <c r="N319" s="51"/>
      <c r="O319" s="1013">
        <v>600</v>
      </c>
      <c r="P319" s="21"/>
      <c r="Q319" s="21"/>
      <c r="R319" s="876">
        <v>1</v>
      </c>
      <c r="S319" s="764">
        <v>8</v>
      </c>
      <c r="T319" s="764">
        <v>0</v>
      </c>
      <c r="U319" s="1374"/>
      <c r="V319" s="21"/>
      <c r="W319" s="21"/>
      <c r="X319" s="21"/>
      <c r="Y319" s="21"/>
      <c r="Z319" s="21"/>
    </row>
    <row r="320" spans="1:26" ht="12" hidden="1" customHeight="1">
      <c r="A320" s="61" t="s">
        <v>415</v>
      </c>
      <c r="B320" s="61" t="s">
        <v>706</v>
      </c>
      <c r="C320" s="62">
        <v>40642</v>
      </c>
      <c r="D320" s="62">
        <v>40649</v>
      </c>
      <c r="E320" s="61" t="s">
        <v>411</v>
      </c>
      <c r="F320" s="61"/>
      <c r="G320" s="802">
        <v>78690</v>
      </c>
      <c r="H320" s="61" t="s">
        <v>707</v>
      </c>
      <c r="I320" s="61" t="s">
        <v>23</v>
      </c>
      <c r="J320" s="61" t="s">
        <v>19</v>
      </c>
      <c r="K320" s="61" t="s">
        <v>412</v>
      </c>
      <c r="L320" s="61" t="s">
        <v>414</v>
      </c>
      <c r="M320" s="61"/>
      <c r="N320" s="63"/>
      <c r="O320" s="1022">
        <f>790+21</f>
        <v>811</v>
      </c>
      <c r="P320" s="61"/>
      <c r="Q320" s="61" t="s">
        <v>708</v>
      </c>
      <c r="R320" s="882">
        <v>1</v>
      </c>
      <c r="S320" s="802">
        <v>6</v>
      </c>
      <c r="T320" s="802">
        <v>1</v>
      </c>
      <c r="U320" s="1373">
        <v>197</v>
      </c>
      <c r="V320" s="61"/>
      <c r="W320" s="61"/>
      <c r="X320" s="61"/>
      <c r="Y320" s="61"/>
      <c r="Z320" s="61"/>
    </row>
    <row r="321" spans="1:26" ht="12" hidden="1" customHeight="1">
      <c r="A321" s="61" t="s">
        <v>769</v>
      </c>
      <c r="B321" s="61" t="s">
        <v>768</v>
      </c>
      <c r="C321" s="62">
        <v>40719</v>
      </c>
      <c r="D321" s="62">
        <v>40727</v>
      </c>
      <c r="E321" s="61"/>
      <c r="F321" s="61"/>
      <c r="G321" s="802"/>
      <c r="H321" s="61"/>
      <c r="I321" s="61" t="s">
        <v>103</v>
      </c>
      <c r="J321" s="61" t="s">
        <v>19</v>
      </c>
      <c r="K321" s="61"/>
      <c r="L321" s="61"/>
      <c r="M321" s="61"/>
      <c r="N321" s="63"/>
      <c r="O321" s="1022">
        <v>500</v>
      </c>
      <c r="P321" s="61"/>
      <c r="Q321" s="61" t="s">
        <v>770</v>
      </c>
      <c r="R321" s="882">
        <v>1</v>
      </c>
      <c r="S321" s="802">
        <v>4</v>
      </c>
      <c r="T321" s="802">
        <v>0</v>
      </c>
      <c r="U321" s="1370">
        <v>0</v>
      </c>
      <c r="V321" s="61"/>
      <c r="W321" s="61"/>
      <c r="X321" s="61"/>
      <c r="Y321" s="61"/>
      <c r="Z321" s="61"/>
    </row>
    <row r="322" spans="1:26" ht="12" hidden="1" customHeight="1">
      <c r="A322" s="61" t="s">
        <v>745</v>
      </c>
      <c r="B322" s="61" t="s">
        <v>746</v>
      </c>
      <c r="C322" s="62">
        <v>40727</v>
      </c>
      <c r="D322" s="62">
        <v>40740</v>
      </c>
      <c r="E322" s="61" t="s">
        <v>747</v>
      </c>
      <c r="F322" s="61"/>
      <c r="G322" s="802" t="s">
        <v>748</v>
      </c>
      <c r="H322" s="61" t="s">
        <v>456</v>
      </c>
      <c r="I322" s="61" t="s">
        <v>168</v>
      </c>
      <c r="J322" s="61" t="s">
        <v>19</v>
      </c>
      <c r="K322" s="61" t="s">
        <v>750</v>
      </c>
      <c r="L322" s="61" t="s">
        <v>749</v>
      </c>
      <c r="M322" s="61"/>
      <c r="N322" s="107"/>
      <c r="O322" s="1022">
        <v>2480</v>
      </c>
      <c r="P322" s="61"/>
      <c r="Q322" s="61" t="s">
        <v>779</v>
      </c>
      <c r="R322" s="882">
        <v>2</v>
      </c>
      <c r="S322" s="802">
        <v>3</v>
      </c>
      <c r="T322" s="802">
        <v>1</v>
      </c>
      <c r="U322" s="65">
        <f>O322/4</f>
        <v>620</v>
      </c>
      <c r="V322" s="61"/>
      <c r="W322" s="61"/>
      <c r="X322" s="61"/>
      <c r="Y322" s="61"/>
      <c r="Z322" s="61"/>
    </row>
    <row r="323" spans="1:26" s="21" customFormat="1" ht="12" hidden="1" customHeight="1">
      <c r="A323" s="61" t="s">
        <v>692</v>
      </c>
      <c r="B323" s="61" t="s">
        <v>693</v>
      </c>
      <c r="C323" s="62">
        <v>40740</v>
      </c>
      <c r="D323" s="62">
        <v>40754</v>
      </c>
      <c r="E323" s="61" t="s">
        <v>694</v>
      </c>
      <c r="F323" s="61"/>
      <c r="G323" s="802">
        <v>4054</v>
      </c>
      <c r="H323" s="61" t="s">
        <v>695</v>
      </c>
      <c r="I323" s="61" t="s">
        <v>168</v>
      </c>
      <c r="J323" s="61" t="s">
        <v>19</v>
      </c>
      <c r="K323" s="61" t="s">
        <v>696</v>
      </c>
      <c r="L323" s="61" t="s">
        <v>697</v>
      </c>
      <c r="M323" s="61"/>
      <c r="N323" s="63"/>
      <c r="O323" s="1022">
        <f>1790+2000+70</f>
        <v>3860</v>
      </c>
      <c r="P323" s="61"/>
      <c r="Q323" s="61" t="s">
        <v>699</v>
      </c>
      <c r="R323" s="882">
        <v>2</v>
      </c>
      <c r="S323" s="802">
        <v>5</v>
      </c>
      <c r="T323" s="802">
        <v>0</v>
      </c>
      <c r="U323" s="65">
        <f>3790/4</f>
        <v>947.5</v>
      </c>
      <c r="V323" s="61"/>
      <c r="W323" s="61"/>
      <c r="X323" s="61"/>
      <c r="Y323" s="61"/>
      <c r="Z323" s="61"/>
    </row>
    <row r="324" spans="1:26" s="115" customFormat="1" ht="12" hidden="1" customHeight="1">
      <c r="A324" s="67" t="s">
        <v>1072</v>
      </c>
      <c r="B324" s="67" t="s">
        <v>1073</v>
      </c>
      <c r="C324" s="68">
        <v>41503</v>
      </c>
      <c r="D324" s="68">
        <v>41517</v>
      </c>
      <c r="E324" s="67" t="s">
        <v>1074</v>
      </c>
      <c r="F324" s="67"/>
      <c r="G324" s="803">
        <v>74500</v>
      </c>
      <c r="H324" s="67" t="s">
        <v>1075</v>
      </c>
      <c r="I324" s="67" t="s">
        <v>23</v>
      </c>
      <c r="J324" s="67" t="s">
        <v>19</v>
      </c>
      <c r="K324" s="67" t="s">
        <v>1077</v>
      </c>
      <c r="L324" s="67" t="s">
        <v>1076</v>
      </c>
      <c r="M324" s="67"/>
      <c r="N324" s="69"/>
      <c r="O324" s="1023">
        <v>745</v>
      </c>
      <c r="P324" s="67"/>
      <c r="Q324" s="67" t="s">
        <v>1079</v>
      </c>
      <c r="R324" s="883">
        <v>0</v>
      </c>
      <c r="S324" s="803" t="s">
        <v>1080</v>
      </c>
      <c r="T324" s="803">
        <v>2</v>
      </c>
      <c r="U324" s="93">
        <f>O324/4</f>
        <v>186.25</v>
      </c>
      <c r="V324" s="101">
        <v>41293</v>
      </c>
      <c r="W324" s="67" t="s">
        <v>1081</v>
      </c>
      <c r="X324" s="67"/>
      <c r="Y324" s="67"/>
      <c r="Z324" s="67"/>
    </row>
    <row r="325" spans="1:26" s="21" customFormat="1" ht="12" hidden="1" customHeight="1">
      <c r="A325" s="21" t="s">
        <v>444</v>
      </c>
      <c r="B325" s="21" t="s">
        <v>256</v>
      </c>
      <c r="C325" s="30">
        <v>41552</v>
      </c>
      <c r="D325" s="30">
        <v>41559</v>
      </c>
      <c r="G325" s="764"/>
      <c r="I325" s="21" t="s">
        <v>18</v>
      </c>
      <c r="J325" s="21" t="s">
        <v>19</v>
      </c>
      <c r="L325" s="21" t="s">
        <v>1145</v>
      </c>
      <c r="N325" s="50"/>
      <c r="O325" s="1013">
        <v>790</v>
      </c>
      <c r="R325" s="876">
        <v>1</v>
      </c>
      <c r="S325" s="764">
        <v>2</v>
      </c>
      <c r="T325" s="764">
        <v>0</v>
      </c>
      <c r="U325" s="23">
        <v>200</v>
      </c>
      <c r="W325" s="21" t="s">
        <v>1144</v>
      </c>
    </row>
    <row r="326" spans="1:26" s="115" customFormat="1" ht="12" hidden="1" customHeight="1">
      <c r="A326" s="21" t="s">
        <v>1396</v>
      </c>
      <c r="B326" s="21" t="s">
        <v>1395</v>
      </c>
      <c r="C326" s="30">
        <v>42042</v>
      </c>
      <c r="D326" s="30">
        <v>42049</v>
      </c>
      <c r="E326" s="21" t="s">
        <v>1397</v>
      </c>
      <c r="F326" s="21"/>
      <c r="G326" s="764">
        <v>72100</v>
      </c>
      <c r="H326" s="21" t="s">
        <v>1398</v>
      </c>
      <c r="I326" s="21" t="s">
        <v>23</v>
      </c>
      <c r="J326" s="21" t="s">
        <v>19</v>
      </c>
      <c r="K326" s="21" t="s">
        <v>1399</v>
      </c>
      <c r="L326" s="21" t="s">
        <v>1400</v>
      </c>
      <c r="M326" s="21"/>
      <c r="N326" s="50"/>
      <c r="O326" s="1013">
        <f>690+70</f>
        <v>760</v>
      </c>
      <c r="P326" s="21"/>
      <c r="Q326" s="21" t="s">
        <v>1401</v>
      </c>
      <c r="R326" s="876">
        <v>1</v>
      </c>
      <c r="S326" s="764">
        <v>4</v>
      </c>
      <c r="T326" s="764">
        <v>0</v>
      </c>
      <c r="U326" s="75">
        <v>175</v>
      </c>
      <c r="V326" s="78">
        <v>42032</v>
      </c>
      <c r="W326" s="21" t="s">
        <v>1281</v>
      </c>
      <c r="X326" s="21" t="s">
        <v>1154</v>
      </c>
      <c r="Y326" s="21"/>
      <c r="Z326" s="21"/>
    </row>
    <row r="327" spans="1:26" s="115" customFormat="1" ht="12" hidden="1" customHeight="1">
      <c r="A327" s="115" t="s">
        <v>486</v>
      </c>
      <c r="B327" s="115" t="s">
        <v>1620</v>
      </c>
      <c r="C327" s="116">
        <v>42658</v>
      </c>
      <c r="D327" s="116">
        <v>42665</v>
      </c>
      <c r="E327" s="115" t="s">
        <v>488</v>
      </c>
      <c r="G327" s="361">
        <v>95130</v>
      </c>
      <c r="H327" s="115" t="s">
        <v>489</v>
      </c>
      <c r="I327" s="115" t="s">
        <v>23</v>
      </c>
      <c r="J327" s="115" t="s">
        <v>19</v>
      </c>
      <c r="K327" s="115" t="s">
        <v>490</v>
      </c>
      <c r="L327" s="115" t="s">
        <v>491</v>
      </c>
      <c r="N327" s="128"/>
      <c r="O327" s="1027">
        <v>690</v>
      </c>
      <c r="R327" s="682">
        <v>1</v>
      </c>
      <c r="S327" s="361">
        <v>4</v>
      </c>
      <c r="T327" s="361">
        <v>0</v>
      </c>
      <c r="U327" s="119">
        <f>O327/4</f>
        <v>172.5</v>
      </c>
    </row>
    <row r="328" spans="1:26" s="115" customFormat="1" ht="12" hidden="1" customHeight="1">
      <c r="A328" s="115" t="s">
        <v>2812</v>
      </c>
      <c r="B328" s="115" t="s">
        <v>2811</v>
      </c>
      <c r="C328" s="116">
        <v>44191</v>
      </c>
      <c r="D328" s="116">
        <v>44198</v>
      </c>
      <c r="G328" s="361"/>
      <c r="I328" s="115" t="s">
        <v>23</v>
      </c>
      <c r="J328" s="115" t="s">
        <v>19</v>
      </c>
      <c r="K328" s="124"/>
      <c r="L328" s="115" t="s">
        <v>2813</v>
      </c>
      <c r="N328" s="128"/>
      <c r="O328" s="1044">
        <f>1449-234.07</f>
        <v>1214.93</v>
      </c>
      <c r="Q328" s="115" t="s">
        <v>1401</v>
      </c>
      <c r="R328" s="682">
        <v>1</v>
      </c>
      <c r="S328" s="361">
        <v>4</v>
      </c>
      <c r="T328" s="361">
        <v>1</v>
      </c>
      <c r="U328" s="918"/>
      <c r="V328" s="115">
        <v>44181</v>
      </c>
      <c r="W328" s="115" t="s">
        <v>1592</v>
      </c>
      <c r="X328" s="115" t="s">
        <v>1154</v>
      </c>
    </row>
    <row r="329" spans="1:26" s="115" customFormat="1" ht="12" hidden="1" customHeight="1">
      <c r="A329" s="8" t="s">
        <v>265</v>
      </c>
      <c r="B329" s="8" t="s">
        <v>266</v>
      </c>
      <c r="C329" s="34">
        <v>38395</v>
      </c>
      <c r="D329" s="34">
        <v>38402</v>
      </c>
      <c r="E329" s="8" t="s">
        <v>318</v>
      </c>
      <c r="F329" s="8"/>
      <c r="G329" s="132">
        <v>60112</v>
      </c>
      <c r="H329" s="8" t="s">
        <v>319</v>
      </c>
      <c r="I329" s="8" t="s">
        <v>23</v>
      </c>
      <c r="J329" s="8" t="s">
        <v>19</v>
      </c>
      <c r="K329" s="8">
        <v>344067096</v>
      </c>
      <c r="L329" s="8"/>
      <c r="M329" s="8"/>
      <c r="N329" s="49"/>
      <c r="O329" s="1035">
        <v>520</v>
      </c>
      <c r="P329" s="8"/>
      <c r="Q329" s="8"/>
      <c r="R329" s="685">
        <v>1</v>
      </c>
      <c r="S329" s="132">
        <v>6</v>
      </c>
      <c r="T329" s="132"/>
      <c r="U329" s="13" t="s">
        <v>232</v>
      </c>
      <c r="V329" s="8"/>
      <c r="W329" s="8"/>
      <c r="X329" s="8"/>
      <c r="Y329" s="8"/>
      <c r="Z329" s="8"/>
    </row>
    <row r="330" spans="1:26" s="115" customFormat="1" ht="12" hidden="1" customHeight="1">
      <c r="A330" s="8" t="s">
        <v>188</v>
      </c>
      <c r="B330" s="8" t="s">
        <v>244</v>
      </c>
      <c r="C330" s="33">
        <v>38444</v>
      </c>
      <c r="D330" s="33">
        <v>38451</v>
      </c>
      <c r="E330" s="8" t="s">
        <v>189</v>
      </c>
      <c r="F330" s="8"/>
      <c r="G330" s="132">
        <v>1700</v>
      </c>
      <c r="H330" s="8" t="s">
        <v>190</v>
      </c>
      <c r="I330" s="8" t="s">
        <v>36</v>
      </c>
      <c r="J330" s="8" t="s">
        <v>19</v>
      </c>
      <c r="K330" s="8" t="s">
        <v>226</v>
      </c>
      <c r="L330" s="8" t="s">
        <v>227</v>
      </c>
      <c r="M330" s="8"/>
      <c r="N330" s="49"/>
      <c r="O330" s="1014">
        <v>460</v>
      </c>
      <c r="P330" s="8"/>
      <c r="Q330" s="8"/>
      <c r="R330" s="685">
        <v>1</v>
      </c>
      <c r="S330" s="132" t="s">
        <v>192</v>
      </c>
      <c r="T330" s="132"/>
      <c r="U330" s="13" t="s">
        <v>232</v>
      </c>
      <c r="V330" s="8"/>
      <c r="W330" s="8"/>
      <c r="X330" s="8"/>
      <c r="Y330" s="8"/>
      <c r="Z330" s="8"/>
    </row>
    <row r="331" spans="1:26" s="115" customFormat="1" ht="12" hidden="1" customHeight="1">
      <c r="A331" s="8" t="s">
        <v>276</v>
      </c>
      <c r="B331" s="8" t="s">
        <v>280</v>
      </c>
      <c r="C331" s="33">
        <v>38451</v>
      </c>
      <c r="D331" s="33">
        <v>38458</v>
      </c>
      <c r="E331" s="8" t="s">
        <v>324</v>
      </c>
      <c r="F331" s="8"/>
      <c r="G331" s="132">
        <v>77500</v>
      </c>
      <c r="H331" s="8" t="s">
        <v>325</v>
      </c>
      <c r="I331" s="8" t="s">
        <v>23</v>
      </c>
      <c r="J331" s="8" t="s">
        <v>19</v>
      </c>
      <c r="K331" s="8" t="s">
        <v>281</v>
      </c>
      <c r="L331" s="8"/>
      <c r="M331" s="8"/>
      <c r="N331" s="49"/>
      <c r="O331" s="1014">
        <v>520</v>
      </c>
      <c r="P331" s="8"/>
      <c r="Q331" s="8"/>
      <c r="R331" s="685">
        <v>1</v>
      </c>
      <c r="S331" s="132">
        <v>6</v>
      </c>
      <c r="T331" s="132"/>
      <c r="U331" s="13" t="s">
        <v>232</v>
      </c>
      <c r="V331" s="8"/>
      <c r="W331" s="8"/>
      <c r="X331" s="8"/>
      <c r="Y331" s="8"/>
      <c r="Z331" s="8"/>
    </row>
    <row r="332" spans="1:26" s="115" customFormat="1" ht="12" hidden="1" customHeight="1">
      <c r="A332" s="8" t="s">
        <v>272</v>
      </c>
      <c r="B332" s="8" t="s">
        <v>273</v>
      </c>
      <c r="C332" s="33">
        <v>38458</v>
      </c>
      <c r="D332" s="33">
        <v>38465</v>
      </c>
      <c r="E332" s="8" t="s">
        <v>326</v>
      </c>
      <c r="F332" s="8"/>
      <c r="G332" s="132">
        <v>25250</v>
      </c>
      <c r="H332" s="8" t="s">
        <v>327</v>
      </c>
      <c r="I332" s="8" t="s">
        <v>23</v>
      </c>
      <c r="J332" s="8" t="s">
        <v>19</v>
      </c>
      <c r="K332" s="8" t="s">
        <v>274</v>
      </c>
      <c r="L332" s="8"/>
      <c r="M332" s="8"/>
      <c r="N332" s="49"/>
      <c r="O332" s="1014">
        <v>520</v>
      </c>
      <c r="P332" s="8"/>
      <c r="Q332" s="8"/>
      <c r="R332" s="685">
        <v>1</v>
      </c>
      <c r="S332" s="132">
        <v>8</v>
      </c>
      <c r="T332" s="132"/>
      <c r="U332" s="13" t="s">
        <v>232</v>
      </c>
      <c r="V332" s="8"/>
      <c r="W332" s="8"/>
      <c r="X332" s="8"/>
      <c r="Y332" s="8"/>
      <c r="Z332" s="8"/>
    </row>
    <row r="333" spans="1:26" s="115" customFormat="1" ht="12" hidden="1" customHeight="1">
      <c r="A333" s="8" t="s">
        <v>228</v>
      </c>
      <c r="B333" s="8" t="s">
        <v>201</v>
      </c>
      <c r="C333" s="33">
        <v>38465</v>
      </c>
      <c r="D333" s="33">
        <v>38479</v>
      </c>
      <c r="E333" s="8" t="s">
        <v>200</v>
      </c>
      <c r="F333" s="8"/>
      <c r="G333" s="132">
        <v>91210</v>
      </c>
      <c r="H333" s="8" t="s">
        <v>229</v>
      </c>
      <c r="I333" s="8" t="s">
        <v>23</v>
      </c>
      <c r="J333" s="8" t="s">
        <v>19</v>
      </c>
      <c r="K333" s="8" t="s">
        <v>230</v>
      </c>
      <c r="L333" s="8"/>
      <c r="M333" s="8"/>
      <c r="N333" s="49"/>
      <c r="O333" s="1014">
        <v>1040</v>
      </c>
      <c r="P333" s="8"/>
      <c r="Q333" s="8"/>
      <c r="R333" s="685">
        <v>2</v>
      </c>
      <c r="S333" s="132">
        <v>4</v>
      </c>
      <c r="T333" s="132"/>
      <c r="U333" s="13" t="s">
        <v>232</v>
      </c>
      <c r="V333" s="8"/>
      <c r="W333" s="8"/>
      <c r="X333" s="8"/>
      <c r="Y333" s="8"/>
      <c r="Z333" s="8"/>
    </row>
    <row r="334" spans="1:26" s="115" customFormat="1" ht="12" hidden="1" customHeight="1">
      <c r="A334" s="8"/>
      <c r="B334" s="8"/>
      <c r="C334" s="33">
        <v>38535</v>
      </c>
      <c r="D334" s="33">
        <v>38542</v>
      </c>
      <c r="E334" s="8"/>
      <c r="F334" s="8"/>
      <c r="G334" s="132"/>
      <c r="H334" s="8" t="s">
        <v>360</v>
      </c>
      <c r="I334" s="8"/>
      <c r="J334" s="8" t="s">
        <v>19</v>
      </c>
      <c r="K334" s="8"/>
      <c r="L334" s="8"/>
      <c r="M334" s="8"/>
      <c r="N334" s="49"/>
      <c r="O334" s="1014">
        <v>860</v>
      </c>
      <c r="P334" s="8"/>
      <c r="Q334" s="8"/>
      <c r="R334" s="685">
        <v>1</v>
      </c>
      <c r="S334" s="132"/>
      <c r="T334" s="132"/>
      <c r="U334" s="13"/>
      <c r="V334" s="8"/>
      <c r="W334" s="8"/>
      <c r="X334" s="8"/>
      <c r="Y334" s="8"/>
      <c r="Z334" s="8"/>
    </row>
    <row r="335" spans="1:26" s="115" customFormat="1" ht="12" hidden="1" customHeight="1">
      <c r="A335" s="8" t="s">
        <v>343</v>
      </c>
      <c r="B335" s="8" t="s">
        <v>344</v>
      </c>
      <c r="C335" s="33">
        <v>38542</v>
      </c>
      <c r="D335" s="33">
        <v>38556</v>
      </c>
      <c r="E335" s="8"/>
      <c r="F335" s="8"/>
      <c r="G335" s="132"/>
      <c r="H335" s="8"/>
      <c r="I335" s="8" t="s">
        <v>23</v>
      </c>
      <c r="J335" s="8" t="s">
        <v>19</v>
      </c>
      <c r="K335" s="8"/>
      <c r="L335" s="8"/>
      <c r="M335" s="8"/>
      <c r="N335" s="49"/>
      <c r="O335" s="1014">
        <v>2200</v>
      </c>
      <c r="P335" s="8"/>
      <c r="Q335" s="8"/>
      <c r="R335" s="685">
        <v>2</v>
      </c>
      <c r="S335" s="132"/>
      <c r="T335" s="132"/>
      <c r="U335" s="13" t="s">
        <v>232</v>
      </c>
      <c r="V335" s="8"/>
      <c r="W335" s="8"/>
      <c r="X335" s="8"/>
      <c r="Y335" s="8"/>
      <c r="Z335" s="8"/>
    </row>
    <row r="336" spans="1:26" s="115" customFormat="1" ht="12" hidden="1" customHeight="1">
      <c r="A336" s="1266" t="s">
        <v>355</v>
      </c>
      <c r="B336" s="8" t="s">
        <v>356</v>
      </c>
      <c r="C336" s="33">
        <v>38605</v>
      </c>
      <c r="D336" s="33">
        <v>38619</v>
      </c>
      <c r="E336" s="8"/>
      <c r="F336" s="8"/>
      <c r="G336" s="132"/>
      <c r="H336" s="8"/>
      <c r="I336" s="8" t="s">
        <v>168</v>
      </c>
      <c r="J336" s="8" t="s">
        <v>19</v>
      </c>
      <c r="K336" s="8"/>
      <c r="L336" s="8"/>
      <c r="M336" s="8"/>
      <c r="N336" s="49"/>
      <c r="O336" s="1014">
        <f>520*2</f>
        <v>1040</v>
      </c>
      <c r="P336" s="8"/>
      <c r="Q336" s="8"/>
      <c r="R336" s="685">
        <v>2</v>
      </c>
      <c r="S336" s="132">
        <v>6</v>
      </c>
      <c r="T336" s="132"/>
      <c r="U336" s="13"/>
      <c r="V336" s="8"/>
      <c r="W336" s="8"/>
      <c r="X336" s="8"/>
      <c r="Y336" s="8"/>
      <c r="Z336" s="8"/>
    </row>
    <row r="337" spans="1:26" s="832" customFormat="1" ht="12" hidden="1" customHeight="1">
      <c r="A337" s="8" t="s">
        <v>303</v>
      </c>
      <c r="B337" s="8" t="s">
        <v>246</v>
      </c>
      <c r="C337" s="31">
        <v>38563</v>
      </c>
      <c r="D337" s="31">
        <v>38577</v>
      </c>
      <c r="E337" s="8" t="s">
        <v>251</v>
      </c>
      <c r="F337" s="8"/>
      <c r="G337" s="132">
        <v>42000</v>
      </c>
      <c r="H337" s="8" t="s">
        <v>247</v>
      </c>
      <c r="I337" s="8" t="s">
        <v>23</v>
      </c>
      <c r="J337" s="8" t="s">
        <v>19</v>
      </c>
      <c r="K337" s="8" t="s">
        <v>248</v>
      </c>
      <c r="L337" s="8" t="s">
        <v>249</v>
      </c>
      <c r="M337" s="8"/>
      <c r="N337" s="49"/>
      <c r="O337" s="1012">
        <v>1300</v>
      </c>
      <c r="P337" s="8"/>
      <c r="Q337" s="8"/>
      <c r="R337" s="685">
        <v>2</v>
      </c>
      <c r="S337" s="132">
        <v>3</v>
      </c>
      <c r="T337" s="132"/>
      <c r="U337" s="13" t="s">
        <v>232</v>
      </c>
      <c r="V337" s="8"/>
      <c r="W337" s="8"/>
      <c r="X337" s="8"/>
      <c r="Y337" s="8"/>
      <c r="Z337" s="8"/>
    </row>
    <row r="338" spans="1:26" s="115" customFormat="1" ht="12" hidden="1" customHeight="1">
      <c r="A338" s="21" t="s">
        <v>1427</v>
      </c>
      <c r="B338" s="21" t="s">
        <v>1428</v>
      </c>
      <c r="C338" s="30">
        <v>42210</v>
      </c>
      <c r="D338" s="30">
        <v>42217</v>
      </c>
      <c r="E338" s="21" t="s">
        <v>1429</v>
      </c>
      <c r="F338" s="21"/>
      <c r="G338" s="764"/>
      <c r="H338" s="21"/>
      <c r="I338" s="21" t="s">
        <v>884</v>
      </c>
      <c r="J338" s="21" t="s">
        <v>180</v>
      </c>
      <c r="K338" s="21"/>
      <c r="L338" s="21" t="s">
        <v>1430</v>
      </c>
      <c r="M338" s="21"/>
      <c r="N338" s="50" t="s">
        <v>1431</v>
      </c>
      <c r="O338" s="1013">
        <v>1990</v>
      </c>
      <c r="P338" s="21"/>
      <c r="Q338" s="21" t="s">
        <v>1432</v>
      </c>
      <c r="R338" s="876">
        <v>1</v>
      </c>
      <c r="S338" s="764">
        <v>4</v>
      </c>
      <c r="T338" s="764">
        <v>1</v>
      </c>
      <c r="U338" s="75">
        <v>500</v>
      </c>
      <c r="V338" s="78">
        <v>42085</v>
      </c>
      <c r="W338" s="21"/>
      <c r="X338" s="21" t="s">
        <v>1154</v>
      </c>
      <c r="Y338" s="21"/>
      <c r="Z338" s="21"/>
    </row>
    <row r="339" spans="1:26" s="838" customFormat="1" ht="12" hidden="1" customHeight="1">
      <c r="A339" s="115" t="s">
        <v>775</v>
      </c>
      <c r="B339" s="115" t="s">
        <v>829</v>
      </c>
      <c r="C339" s="116">
        <v>42924</v>
      </c>
      <c r="D339" s="116">
        <v>42938</v>
      </c>
      <c r="E339" s="115" t="s">
        <v>773</v>
      </c>
      <c r="F339" s="115"/>
      <c r="G339" s="361" t="s">
        <v>774</v>
      </c>
      <c r="H339" s="115" t="s">
        <v>772</v>
      </c>
      <c r="I339" s="115" t="s">
        <v>168</v>
      </c>
      <c r="J339" s="115" t="s">
        <v>180</v>
      </c>
      <c r="K339" s="115" t="s">
        <v>1578</v>
      </c>
      <c r="L339" s="115" t="s">
        <v>777</v>
      </c>
      <c r="M339" s="115"/>
      <c r="N339" s="128" t="s">
        <v>1577</v>
      </c>
      <c r="O339" s="1027">
        <f>945*4</f>
        <v>3780</v>
      </c>
      <c r="P339" s="115"/>
      <c r="Q339" s="115" t="s">
        <v>1579</v>
      </c>
      <c r="R339" s="682">
        <v>2</v>
      </c>
      <c r="S339" s="361">
        <v>5</v>
      </c>
      <c r="T339" s="361"/>
      <c r="U339" s="119">
        <f>O339/4</f>
        <v>945</v>
      </c>
      <c r="V339" s="115" t="s">
        <v>1170</v>
      </c>
      <c r="W339" s="115"/>
      <c r="X339" s="115"/>
      <c r="Y339" s="115"/>
      <c r="Z339" s="115"/>
    </row>
    <row r="340" spans="1:26" s="845" customFormat="1" ht="12" hidden="1" customHeight="1">
      <c r="A340" s="21" t="s">
        <v>362</v>
      </c>
      <c r="B340" s="21" t="s">
        <v>363</v>
      </c>
      <c r="C340" s="30">
        <v>39523</v>
      </c>
      <c r="D340" s="30">
        <v>39540</v>
      </c>
      <c r="E340" s="21" t="s">
        <v>369</v>
      </c>
      <c r="F340" s="21"/>
      <c r="G340" s="764">
        <v>4085</v>
      </c>
      <c r="H340" s="21" t="s">
        <v>367</v>
      </c>
      <c r="I340" s="21" t="s">
        <v>365</v>
      </c>
      <c r="J340" s="21" t="s">
        <v>180</v>
      </c>
      <c r="K340" s="21" t="s">
        <v>368</v>
      </c>
      <c r="L340" s="21" t="s">
        <v>364</v>
      </c>
      <c r="M340" s="765"/>
      <c r="N340" s="50" t="s">
        <v>366</v>
      </c>
      <c r="O340" s="1013">
        <v>1400</v>
      </c>
      <c r="P340" s="21"/>
      <c r="Q340" s="21"/>
      <c r="R340" s="876">
        <v>2</v>
      </c>
      <c r="S340" s="764">
        <v>5</v>
      </c>
      <c r="T340" s="764"/>
      <c r="U340" s="23">
        <v>350</v>
      </c>
      <c r="V340" s="21"/>
      <c r="W340" s="21"/>
      <c r="X340" s="21"/>
      <c r="Y340" s="21"/>
      <c r="Z340" s="21"/>
    </row>
    <row r="341" spans="1:26" s="832" customFormat="1" ht="12" hidden="1" customHeight="1">
      <c r="A341" s="115" t="s">
        <v>1556</v>
      </c>
      <c r="B341" s="115" t="s">
        <v>1557</v>
      </c>
      <c r="C341" s="116">
        <v>42595</v>
      </c>
      <c r="D341" s="116">
        <v>42602</v>
      </c>
      <c r="E341" s="115" t="s">
        <v>1558</v>
      </c>
      <c r="F341" s="115"/>
      <c r="G341" s="361" t="s">
        <v>1559</v>
      </c>
      <c r="H341" s="115" t="s">
        <v>1560</v>
      </c>
      <c r="I341" s="115" t="s">
        <v>1561</v>
      </c>
      <c r="J341" s="115" t="s">
        <v>180</v>
      </c>
      <c r="K341" s="115"/>
      <c r="L341" s="115" t="s">
        <v>1430</v>
      </c>
      <c r="M341" s="115"/>
      <c r="N341" s="128" t="s">
        <v>1712</v>
      </c>
      <c r="O341" s="1027">
        <f>1990+20</f>
        <v>2010</v>
      </c>
      <c r="P341" s="115"/>
      <c r="Q341" s="115" t="s">
        <v>1563</v>
      </c>
      <c r="R341" s="682">
        <v>1</v>
      </c>
      <c r="S341" s="361" t="s">
        <v>1564</v>
      </c>
      <c r="T341" s="361">
        <v>1</v>
      </c>
      <c r="U341" s="119">
        <v>500</v>
      </c>
      <c r="V341" s="120">
        <v>42451</v>
      </c>
      <c r="W341" s="115" t="s">
        <v>1565</v>
      </c>
      <c r="X341" s="115" t="s">
        <v>1154</v>
      </c>
      <c r="Y341" s="115"/>
      <c r="Z341" s="115"/>
    </row>
    <row r="342" spans="1:26" s="115" customFormat="1" ht="12" hidden="1" customHeight="1">
      <c r="A342" s="21" t="s">
        <v>1385</v>
      </c>
      <c r="B342" s="21" t="s">
        <v>1384</v>
      </c>
      <c r="C342" s="30">
        <v>42133</v>
      </c>
      <c r="D342" s="30">
        <v>42147</v>
      </c>
      <c r="E342" s="21" t="s">
        <v>1386</v>
      </c>
      <c r="F342" s="21"/>
      <c r="G342" s="764"/>
      <c r="H342" s="21" t="s">
        <v>1387</v>
      </c>
      <c r="I342" s="21" t="s">
        <v>884</v>
      </c>
      <c r="J342" s="21" t="s">
        <v>180</v>
      </c>
      <c r="K342" s="21"/>
      <c r="L342" s="21" t="s">
        <v>1388</v>
      </c>
      <c r="M342" s="21"/>
      <c r="N342" s="50" t="s">
        <v>1389</v>
      </c>
      <c r="O342" s="1013">
        <f>790+790+3*4*14</f>
        <v>1748</v>
      </c>
      <c r="P342" s="21"/>
      <c r="Q342" s="21" t="s">
        <v>1390</v>
      </c>
      <c r="R342" s="876">
        <v>2</v>
      </c>
      <c r="S342" s="764" t="s">
        <v>1300</v>
      </c>
      <c r="T342" s="764">
        <v>3</v>
      </c>
      <c r="U342" s="75">
        <v>395</v>
      </c>
      <c r="V342" s="78">
        <v>42011</v>
      </c>
      <c r="W342" s="21" t="s">
        <v>1329</v>
      </c>
      <c r="X342" s="21"/>
      <c r="Y342" s="21"/>
      <c r="Z342" s="21"/>
    </row>
    <row r="343" spans="1:26" s="408" customFormat="1" ht="12" hidden="1" customHeight="1">
      <c r="A343" s="21" t="s">
        <v>775</v>
      </c>
      <c r="B343" s="21" t="s">
        <v>829</v>
      </c>
      <c r="C343" s="30">
        <v>41097</v>
      </c>
      <c r="D343" s="30">
        <v>41118</v>
      </c>
      <c r="E343" s="21" t="s">
        <v>773</v>
      </c>
      <c r="F343" s="21"/>
      <c r="G343" s="764" t="s">
        <v>774</v>
      </c>
      <c r="H343" s="21" t="s">
        <v>772</v>
      </c>
      <c r="I343" s="21" t="s">
        <v>168</v>
      </c>
      <c r="J343" s="21" t="s">
        <v>180</v>
      </c>
      <c r="K343" s="21"/>
      <c r="L343" s="21" t="s">
        <v>777</v>
      </c>
      <c r="M343" s="21"/>
      <c r="N343" s="50" t="s">
        <v>776</v>
      </c>
      <c r="O343" s="1013">
        <f>1390+1790+2000</f>
        <v>5180</v>
      </c>
      <c r="P343" s="21"/>
      <c r="Q343" s="21" t="s">
        <v>778</v>
      </c>
      <c r="R343" s="876">
        <v>3</v>
      </c>
      <c r="S343" s="764">
        <v>6</v>
      </c>
      <c r="T343" s="764"/>
      <c r="U343" s="75">
        <f>O343/4</f>
        <v>1295</v>
      </c>
      <c r="V343" s="21"/>
      <c r="W343" s="21"/>
      <c r="X343" s="21"/>
      <c r="Y343" s="21"/>
      <c r="Z343" s="21"/>
    </row>
    <row r="344" spans="1:26" s="115" customFormat="1" ht="12" hidden="1" customHeight="1">
      <c r="A344" s="355" t="s">
        <v>1556</v>
      </c>
      <c r="B344" s="355" t="s">
        <v>1557</v>
      </c>
      <c r="C344" s="357">
        <v>43302</v>
      </c>
      <c r="D344" s="357">
        <v>43309</v>
      </c>
      <c r="E344" s="355" t="s">
        <v>1558</v>
      </c>
      <c r="F344" s="355"/>
      <c r="G344" s="358" t="s">
        <v>1559</v>
      </c>
      <c r="H344" s="355" t="s">
        <v>1560</v>
      </c>
      <c r="I344" s="355" t="s">
        <v>1561</v>
      </c>
      <c r="J344" s="355" t="s">
        <v>180</v>
      </c>
      <c r="K344" s="355"/>
      <c r="L344" s="355" t="s">
        <v>1430</v>
      </c>
      <c r="M344" s="355"/>
      <c r="N344" s="365" t="s">
        <v>1562</v>
      </c>
      <c r="O344" s="1036">
        <v>1990</v>
      </c>
      <c r="P344" s="355"/>
      <c r="Q344" s="355" t="s">
        <v>1563</v>
      </c>
      <c r="R344" s="891">
        <v>1</v>
      </c>
      <c r="S344" s="358" t="s">
        <v>1564</v>
      </c>
      <c r="T344" s="358">
        <v>1</v>
      </c>
      <c r="U344" s="356"/>
      <c r="V344" s="360">
        <v>43153</v>
      </c>
      <c r="W344" s="355" t="s">
        <v>1911</v>
      </c>
      <c r="X344" s="355" t="s">
        <v>1154</v>
      </c>
      <c r="Y344" s="355"/>
      <c r="Z344" s="355"/>
    </row>
    <row r="345" spans="1:26" s="21" customFormat="1" ht="12" hidden="1" customHeight="1">
      <c r="A345" s="8" t="s">
        <v>264</v>
      </c>
      <c r="B345" s="8" t="s">
        <v>263</v>
      </c>
      <c r="C345" s="33">
        <v>38584</v>
      </c>
      <c r="D345" s="33">
        <v>38598</v>
      </c>
      <c r="E345" s="8" t="s">
        <v>334</v>
      </c>
      <c r="F345" s="8"/>
      <c r="G345" s="132"/>
      <c r="H345" s="8" t="s">
        <v>335</v>
      </c>
      <c r="I345" s="8" t="s">
        <v>212</v>
      </c>
      <c r="J345" s="8" t="s">
        <v>180</v>
      </c>
      <c r="K345" s="8" t="s">
        <v>336</v>
      </c>
      <c r="L345" s="8"/>
      <c r="M345" s="8"/>
      <c r="N345" s="49" t="s">
        <v>262</v>
      </c>
      <c r="O345" s="1014">
        <f>960+720</f>
        <v>1680</v>
      </c>
      <c r="P345" s="8"/>
      <c r="Q345" s="8"/>
      <c r="R345" s="685">
        <v>2</v>
      </c>
      <c r="S345" s="132">
        <v>5</v>
      </c>
      <c r="T345" s="132"/>
      <c r="U345" s="13" t="s">
        <v>232</v>
      </c>
      <c r="V345" s="8"/>
      <c r="W345" s="8"/>
      <c r="X345" s="8"/>
      <c r="Y345" s="8"/>
      <c r="Z345" s="8"/>
    </row>
    <row r="346" spans="1:26" s="21" customFormat="1" ht="12" hidden="1" customHeight="1">
      <c r="A346" s="21" t="s">
        <v>1442</v>
      </c>
      <c r="C346" s="30">
        <v>42203</v>
      </c>
      <c r="D346" s="30">
        <v>42210</v>
      </c>
      <c r="E346" s="21" t="s">
        <v>1443</v>
      </c>
      <c r="G346" s="764" t="s">
        <v>1444</v>
      </c>
      <c r="H346" s="21" t="s">
        <v>1445</v>
      </c>
      <c r="I346" s="21" t="s">
        <v>1446</v>
      </c>
      <c r="J346" s="21" t="s">
        <v>180</v>
      </c>
      <c r="L346" s="21" t="s">
        <v>1447</v>
      </c>
      <c r="N346" s="51" t="s">
        <v>1448</v>
      </c>
      <c r="O346" s="1013">
        <v>1790</v>
      </c>
      <c r="Q346" s="21" t="s">
        <v>1449</v>
      </c>
      <c r="R346" s="876">
        <v>1</v>
      </c>
      <c r="S346" s="764" t="s">
        <v>1362</v>
      </c>
      <c r="T346" s="764">
        <v>0</v>
      </c>
      <c r="U346" s="75">
        <f>1790/4</f>
        <v>447.5</v>
      </c>
      <c r="V346" s="78">
        <v>42158</v>
      </c>
      <c r="W346" s="21" t="s">
        <v>1450</v>
      </c>
      <c r="X346" s="21" t="s">
        <v>1217</v>
      </c>
    </row>
    <row r="347" spans="1:26" s="21" customFormat="1" ht="12" hidden="1" customHeight="1">
      <c r="A347" s="21" t="s">
        <v>1218</v>
      </c>
      <c r="B347" s="21" t="s">
        <v>1219</v>
      </c>
      <c r="C347" s="30">
        <v>41909</v>
      </c>
      <c r="D347" s="30">
        <v>41916</v>
      </c>
      <c r="E347" s="21" t="s">
        <v>1220</v>
      </c>
      <c r="G347" s="764" t="s">
        <v>1221</v>
      </c>
      <c r="H347" s="21" t="s">
        <v>1222</v>
      </c>
      <c r="I347" s="21" t="s">
        <v>1223</v>
      </c>
      <c r="J347" s="21" t="s">
        <v>180</v>
      </c>
      <c r="K347" s="21" t="s">
        <v>1224</v>
      </c>
      <c r="L347" s="21" t="s">
        <v>1225</v>
      </c>
      <c r="N347" s="50"/>
      <c r="O347" s="1013">
        <f>990+42</f>
        <v>1032</v>
      </c>
      <c r="Q347" s="21" t="s">
        <v>1192</v>
      </c>
      <c r="R347" s="876">
        <v>1</v>
      </c>
      <c r="S347" s="764">
        <v>2</v>
      </c>
      <c r="T347" s="764">
        <v>2</v>
      </c>
      <c r="U347" s="75">
        <v>250</v>
      </c>
      <c r="V347" s="78">
        <v>41660</v>
      </c>
      <c r="W347" s="21" t="s">
        <v>1227</v>
      </c>
      <c r="X347" s="21" t="s">
        <v>1154</v>
      </c>
    </row>
    <row r="348" spans="1:26" ht="12" hidden="1" customHeight="1">
      <c r="A348" s="8" t="s">
        <v>283</v>
      </c>
      <c r="B348" s="8" t="s">
        <v>284</v>
      </c>
      <c r="C348" s="34">
        <v>38381</v>
      </c>
      <c r="D348" s="34">
        <v>38388</v>
      </c>
      <c r="E348" s="8" t="s">
        <v>340</v>
      </c>
      <c r="H348" s="8" t="s">
        <v>341</v>
      </c>
      <c r="I348" s="8" t="s">
        <v>212</v>
      </c>
      <c r="J348" s="8" t="s">
        <v>180</v>
      </c>
      <c r="K348" s="15" t="s">
        <v>296</v>
      </c>
      <c r="N348" s="49"/>
      <c r="O348" s="1035">
        <v>460</v>
      </c>
      <c r="R348" s="685">
        <v>1</v>
      </c>
      <c r="S348" s="132">
        <v>2</v>
      </c>
      <c r="U348" s="13" t="s">
        <v>232</v>
      </c>
    </row>
    <row r="349" spans="1:26" ht="12" hidden="1" customHeight="1">
      <c r="A349" s="832" t="s">
        <v>1698</v>
      </c>
      <c r="B349" s="832" t="s">
        <v>1696</v>
      </c>
      <c r="C349" s="833">
        <v>42847</v>
      </c>
      <c r="D349" s="833">
        <v>42854</v>
      </c>
      <c r="E349" s="832"/>
      <c r="F349" s="832"/>
      <c r="G349" s="834"/>
      <c r="H349" s="832" t="s">
        <v>18</v>
      </c>
      <c r="I349" s="832" t="s">
        <v>18</v>
      </c>
      <c r="J349" s="832"/>
      <c r="K349" s="832"/>
      <c r="L349" s="832" t="s">
        <v>1697</v>
      </c>
      <c r="M349" s="832"/>
      <c r="N349" s="835" t="s">
        <v>1743</v>
      </c>
      <c r="O349" s="1028">
        <f>910-136.5+20+70</f>
        <v>863.5</v>
      </c>
      <c r="P349" s="832"/>
      <c r="Q349" s="832" t="s">
        <v>199</v>
      </c>
      <c r="R349" s="886">
        <v>1</v>
      </c>
      <c r="S349" s="834">
        <v>2</v>
      </c>
      <c r="T349" s="834">
        <v>1</v>
      </c>
      <c r="U349" s="836">
        <v>300</v>
      </c>
      <c r="V349" s="837">
        <v>42785</v>
      </c>
      <c r="W349" s="832" t="s">
        <v>1592</v>
      </c>
      <c r="X349" s="832"/>
      <c r="Y349" s="832"/>
      <c r="Z349" s="832"/>
    </row>
    <row r="350" spans="1:26" ht="12" hidden="1" customHeight="1">
      <c r="N350" s="128" t="s">
        <v>1684</v>
      </c>
      <c r="O350" s="1014"/>
      <c r="U350" s="85"/>
      <c r="V350" s="815"/>
    </row>
    <row r="351" spans="1:26" ht="12" hidden="1" customHeight="1">
      <c r="A351" s="8" t="s">
        <v>468</v>
      </c>
      <c r="N351" s="8" t="s">
        <v>469</v>
      </c>
      <c r="U351" s="13"/>
    </row>
    <row r="352" spans="1:26" ht="12" hidden="1" customHeight="1">
      <c r="A352" s="21"/>
      <c r="B352" s="21"/>
      <c r="C352" s="30"/>
      <c r="D352" s="30"/>
      <c r="E352" s="21"/>
      <c r="F352" s="21"/>
      <c r="G352" s="764"/>
      <c r="H352" s="21"/>
      <c r="I352" s="21"/>
      <c r="J352" s="21"/>
      <c r="K352" s="21"/>
      <c r="L352" s="21"/>
      <c r="M352" s="21"/>
      <c r="N352" s="128" t="s">
        <v>1791</v>
      </c>
      <c r="O352" s="1013"/>
      <c r="P352" s="21"/>
      <c r="Q352" s="21"/>
      <c r="R352" s="876"/>
      <c r="S352" s="764"/>
      <c r="T352" s="764"/>
      <c r="U352" s="75"/>
      <c r="V352" s="78"/>
      <c r="W352" s="21"/>
      <c r="X352" s="21"/>
      <c r="Y352" s="21"/>
      <c r="Z352" s="21"/>
    </row>
    <row r="353" spans="1:21" ht="12" hidden="1" customHeight="1">
      <c r="A353" s="9" t="s">
        <v>361</v>
      </c>
      <c r="B353" s="7"/>
      <c r="C353" s="29"/>
      <c r="D353" s="29"/>
      <c r="E353" s="7"/>
      <c r="F353" s="7"/>
      <c r="G353" s="133"/>
      <c r="H353" s="7"/>
      <c r="I353" s="7"/>
      <c r="J353" s="7"/>
      <c r="K353" s="7"/>
      <c r="L353" s="7"/>
      <c r="M353" s="7"/>
      <c r="N353" s="7"/>
      <c r="O353" s="1012"/>
      <c r="P353" s="7"/>
      <c r="S353" s="133"/>
      <c r="T353" s="133"/>
      <c r="U353" s="784"/>
    </row>
    <row r="354" spans="1:21" ht="12" hidden="1" customHeight="1">
      <c r="A354" s="510"/>
      <c r="B354" s="7"/>
      <c r="C354" s="29"/>
      <c r="D354" s="29"/>
      <c r="E354" s="7"/>
      <c r="F354" s="7"/>
      <c r="G354" s="133"/>
      <c r="H354" s="7"/>
      <c r="I354" s="7"/>
      <c r="J354" s="7"/>
      <c r="K354" s="7"/>
      <c r="L354" s="7"/>
      <c r="M354" s="7"/>
      <c r="N354" s="7"/>
      <c r="O354" s="1012"/>
      <c r="P354" s="7"/>
      <c r="S354" s="133"/>
      <c r="T354" s="133"/>
      <c r="U354" s="784"/>
    </row>
    <row r="355" spans="1:21" ht="12" hidden="1" customHeight="1">
      <c r="E355" s="766"/>
      <c r="N355" s="49"/>
      <c r="O355" s="1014"/>
      <c r="U355" s="19"/>
    </row>
    <row r="356" spans="1:21" ht="12" hidden="1" customHeight="1">
      <c r="A356" s="7" t="s">
        <v>462</v>
      </c>
      <c r="B356" s="1268">
        <f>SUM(O340:O356)</f>
        <v>18153.5</v>
      </c>
      <c r="N356" s="49"/>
      <c r="O356" s="1014"/>
      <c r="U356" s="19"/>
    </row>
    <row r="357" spans="1:21" ht="12" hidden="1" customHeight="1">
      <c r="A357" s="7" t="s">
        <v>463</v>
      </c>
      <c r="B357" s="1274">
        <f>SUM(R340:R356)</f>
        <v>15</v>
      </c>
      <c r="C357" s="1297">
        <f>B356/B357</f>
        <v>1210.2333333333333</v>
      </c>
      <c r="D357" s="29"/>
      <c r="E357" s="7"/>
      <c r="F357" s="7"/>
      <c r="G357" s="133"/>
      <c r="H357" s="7"/>
      <c r="I357" s="7"/>
      <c r="J357" s="7"/>
      <c r="K357" s="7"/>
      <c r="L357" s="7"/>
      <c r="M357" s="7"/>
      <c r="P357" s="7"/>
      <c r="S357" s="133"/>
      <c r="T357" s="133"/>
      <c r="U357" s="784"/>
    </row>
    <row r="358" spans="1:21" ht="12" hidden="1" customHeight="1">
      <c r="A358" s="7"/>
      <c r="B358" s="7"/>
      <c r="C358" s="29"/>
      <c r="D358" s="29"/>
      <c r="E358" s="7"/>
      <c r="F358" s="7"/>
      <c r="G358" s="133"/>
      <c r="H358" s="7"/>
      <c r="I358" s="7"/>
      <c r="J358" s="7"/>
      <c r="K358" s="7"/>
      <c r="L358" s="7"/>
      <c r="M358" s="7"/>
      <c r="P358" s="7"/>
      <c r="S358" s="133"/>
      <c r="T358" s="133"/>
      <c r="U358" s="784"/>
    </row>
    <row r="359" spans="1:21" ht="12" hidden="1" customHeight="1">
      <c r="A359" s="7" t="s">
        <v>464</v>
      </c>
      <c r="B359" s="1275">
        <f>1577.94*12</f>
        <v>18935.28</v>
      </c>
      <c r="C359" s="29"/>
      <c r="D359" s="29"/>
      <c r="E359" s="7"/>
      <c r="F359" s="7"/>
      <c r="G359" s="133"/>
      <c r="H359" s="7"/>
      <c r="I359" s="7"/>
      <c r="J359" s="7"/>
      <c r="K359" s="7"/>
      <c r="L359" s="7"/>
      <c r="M359" s="7"/>
      <c r="N359" s="7"/>
      <c r="O359" s="1012"/>
      <c r="P359" s="7"/>
      <c r="S359" s="133"/>
      <c r="T359" s="133"/>
      <c r="U359" s="784"/>
    </row>
    <row r="360" spans="1:21" ht="12" hidden="1" customHeight="1">
      <c r="A360" s="7"/>
      <c r="B360" s="7"/>
      <c r="C360" s="29"/>
      <c r="D360" s="29"/>
      <c r="E360" s="7"/>
      <c r="F360" s="7"/>
      <c r="G360" s="133"/>
      <c r="H360" s="7"/>
      <c r="I360" s="7"/>
      <c r="J360" s="7"/>
      <c r="K360" s="7"/>
      <c r="L360" s="7"/>
      <c r="M360" s="7"/>
      <c r="N360" s="7"/>
      <c r="O360" s="1012"/>
      <c r="P360" s="7"/>
      <c r="S360" s="133"/>
      <c r="T360" s="133"/>
      <c r="U360" s="784"/>
    </row>
    <row r="361" spans="1:21" ht="12" hidden="1" customHeight="1">
      <c r="A361" s="510" t="s">
        <v>465</v>
      </c>
      <c r="B361" s="774">
        <f>B356-B359</f>
        <v>-781.77999999999884</v>
      </c>
      <c r="C361" s="29"/>
      <c r="D361" s="29"/>
      <c r="E361" s="7"/>
      <c r="F361" s="7"/>
      <c r="G361" s="133"/>
      <c r="H361" s="7"/>
      <c r="I361" s="7"/>
      <c r="J361" s="7"/>
      <c r="K361" s="7"/>
      <c r="L361" s="7"/>
      <c r="M361" s="7"/>
      <c r="N361" s="7"/>
      <c r="O361" s="1012"/>
      <c r="P361" s="7"/>
      <c r="S361" s="133"/>
      <c r="T361" s="133"/>
      <c r="U361" s="784"/>
    </row>
    <row r="362" spans="1:21" ht="12" hidden="1" customHeight="1">
      <c r="A362" s="7" t="s">
        <v>466</v>
      </c>
      <c r="B362" s="774">
        <f>B356/12</f>
        <v>1512.7916666666667</v>
      </c>
      <c r="C362" s="29"/>
      <c r="D362" s="29"/>
      <c r="E362" s="7"/>
      <c r="F362" s="7"/>
      <c r="G362" s="133"/>
      <c r="H362" s="7"/>
      <c r="I362" s="7"/>
      <c r="J362" s="7"/>
      <c r="K362" s="7"/>
      <c r="L362" s="7"/>
      <c r="M362" s="7"/>
      <c r="N362" s="7"/>
      <c r="O362" s="1012"/>
      <c r="P362" s="7"/>
      <c r="S362" s="133"/>
      <c r="T362" s="133"/>
      <c r="U362" s="784"/>
    </row>
    <row r="363" spans="1:21" ht="12" hidden="1" customHeight="1">
      <c r="A363" s="7"/>
      <c r="B363" s="7"/>
      <c r="C363" s="29"/>
      <c r="D363" s="29"/>
      <c r="E363" s="7"/>
      <c r="F363" s="7"/>
      <c r="G363" s="133"/>
      <c r="H363" s="7"/>
      <c r="I363" s="7"/>
      <c r="J363" s="7"/>
      <c r="K363" s="7"/>
      <c r="L363" s="7"/>
      <c r="M363" s="7"/>
      <c r="N363" s="7"/>
      <c r="O363" s="1012"/>
      <c r="P363" s="7"/>
      <c r="S363" s="133"/>
      <c r="T363" s="133"/>
      <c r="U363" s="784"/>
    </row>
    <row r="364" spans="1:21" ht="12" hidden="1" customHeight="1">
      <c r="A364" s="7"/>
      <c r="B364" s="7"/>
      <c r="C364" s="29"/>
      <c r="D364" s="29"/>
      <c r="E364" s="7"/>
      <c r="F364" s="7"/>
      <c r="G364" s="133"/>
      <c r="H364" s="7"/>
      <c r="I364" s="7"/>
      <c r="J364" s="7"/>
      <c r="K364" s="7"/>
      <c r="L364" s="7"/>
      <c r="M364" s="7"/>
      <c r="N364" s="7"/>
      <c r="O364" s="1012"/>
      <c r="P364" s="7"/>
      <c r="S364" s="133"/>
      <c r="T364" s="133"/>
      <c r="U364" s="784"/>
    </row>
    <row r="365" spans="1:21" ht="12" hidden="1" customHeight="1">
      <c r="A365" s="7"/>
      <c r="B365" s="7"/>
      <c r="C365" s="29"/>
      <c r="D365" s="29"/>
      <c r="E365" s="7"/>
      <c r="F365" s="7"/>
      <c r="G365" s="133"/>
      <c r="H365" s="7"/>
      <c r="I365" s="7"/>
      <c r="J365" s="7"/>
      <c r="K365" s="7"/>
      <c r="L365" s="7"/>
      <c r="M365" s="7"/>
      <c r="N365" s="7"/>
      <c r="O365" s="1012"/>
      <c r="P365" s="7"/>
      <c r="S365" s="133"/>
      <c r="T365" s="133"/>
      <c r="U365" s="784"/>
    </row>
    <row r="366" spans="1:21" ht="12" hidden="1" customHeight="1">
      <c r="A366" s="9" t="s">
        <v>471</v>
      </c>
      <c r="B366" s="7"/>
      <c r="C366" s="29"/>
      <c r="D366" s="29"/>
      <c r="E366" s="7"/>
      <c r="F366" s="7"/>
      <c r="G366" s="133"/>
      <c r="H366" s="7"/>
      <c r="I366" s="7"/>
      <c r="J366" s="7"/>
      <c r="K366" s="7"/>
      <c r="L366" s="7"/>
      <c r="M366" s="7"/>
      <c r="N366" s="7"/>
      <c r="O366" s="1012"/>
      <c r="P366" s="7"/>
      <c r="S366" s="133"/>
      <c r="T366" s="133"/>
      <c r="U366" s="784"/>
    </row>
    <row r="367" spans="1:21" ht="12" hidden="1" customHeight="1">
      <c r="E367" s="766"/>
      <c r="N367" s="49"/>
      <c r="O367" s="1014"/>
      <c r="U367" s="19"/>
    </row>
    <row r="368" spans="1:21" ht="12" hidden="1" customHeight="1">
      <c r="A368" s="7" t="s">
        <v>470</v>
      </c>
      <c r="B368" s="1268">
        <f>SUM(O350:O368)</f>
        <v>0</v>
      </c>
      <c r="D368" s="7" t="s">
        <v>574</v>
      </c>
      <c r="N368" s="49"/>
      <c r="O368" s="1014"/>
      <c r="U368" s="19"/>
    </row>
    <row r="369" spans="1:26" ht="12" hidden="1" customHeight="1">
      <c r="A369" s="7" t="s">
        <v>463</v>
      </c>
      <c r="B369" s="1274">
        <f>SUM(R350:R368)</f>
        <v>0</v>
      </c>
      <c r="C369" s="1292" t="e">
        <f>B368/B369</f>
        <v>#DIV/0!</v>
      </c>
      <c r="D369" s="1266" t="s">
        <v>575</v>
      </c>
      <c r="F369" s="7"/>
      <c r="G369" s="133"/>
      <c r="H369" s="7"/>
      <c r="I369" s="7"/>
      <c r="J369" s="7"/>
      <c r="K369" s="7"/>
      <c r="L369" s="7"/>
      <c r="M369" s="7"/>
      <c r="P369" s="7"/>
      <c r="S369" s="133"/>
      <c r="T369" s="133"/>
      <c r="U369" s="7"/>
    </row>
    <row r="370" spans="1:26" ht="12" hidden="1" customHeight="1" thickBot="1">
      <c r="A370" s="7"/>
      <c r="B370" s="7"/>
      <c r="C370" s="29"/>
      <c r="D370" s="1266" t="s">
        <v>576</v>
      </c>
      <c r="F370" s="7"/>
      <c r="G370" s="133"/>
      <c r="H370" s="7"/>
      <c r="I370" s="7"/>
      <c r="J370" s="7"/>
      <c r="K370" s="7"/>
      <c r="L370" s="7"/>
      <c r="M370" s="7"/>
      <c r="P370" s="7"/>
      <c r="S370" s="133"/>
      <c r="T370" s="133"/>
      <c r="U370" s="7"/>
    </row>
    <row r="371" spans="1:26" ht="12" hidden="1" customHeight="1" thickBot="1">
      <c r="A371" s="18" t="s">
        <v>464</v>
      </c>
      <c r="B371" s="1286">
        <f>1577.94*12</f>
        <v>18935.28</v>
      </c>
      <c r="C371" s="29"/>
      <c r="D371" s="1311" t="s">
        <v>579</v>
      </c>
      <c r="E371" s="782">
        <v>1500</v>
      </c>
      <c r="F371" s="7"/>
      <c r="G371" s="133"/>
      <c r="H371" s="7"/>
      <c r="I371" s="785"/>
      <c r="J371" s="7"/>
      <c r="K371" s="7"/>
      <c r="L371" s="7"/>
      <c r="M371" s="7"/>
      <c r="N371" s="773"/>
      <c r="O371" s="1012"/>
      <c r="P371" s="7"/>
      <c r="S371" s="133"/>
      <c r="T371" s="133"/>
      <c r="U371" s="7"/>
    </row>
    <row r="372" spans="1:26" ht="12" hidden="1" customHeight="1" thickBot="1">
      <c r="A372" s="768"/>
      <c r="B372" s="790"/>
      <c r="C372" s="1295"/>
      <c r="D372" s="17" t="s">
        <v>577</v>
      </c>
      <c r="E372" s="13">
        <v>712</v>
      </c>
      <c r="F372" s="7"/>
      <c r="G372" s="133"/>
      <c r="H372" s="7"/>
      <c r="I372" s="7"/>
      <c r="J372" s="7"/>
      <c r="K372" s="7"/>
      <c r="L372" s="7"/>
      <c r="M372" s="7"/>
      <c r="N372" s="7"/>
      <c r="O372" s="1012"/>
      <c r="P372" s="7"/>
      <c r="S372" s="133"/>
      <c r="T372" s="133"/>
      <c r="U372" s="7"/>
    </row>
    <row r="373" spans="1:26" ht="12" hidden="1" customHeight="1" thickBot="1">
      <c r="A373" s="7" t="s">
        <v>465</v>
      </c>
      <c r="B373" s="774">
        <f>B368-B371</f>
        <v>-18935.28</v>
      </c>
      <c r="C373" s="29"/>
      <c r="D373" s="17" t="s">
        <v>578</v>
      </c>
      <c r="E373" s="13"/>
      <c r="F373" s="7"/>
      <c r="G373" s="133"/>
      <c r="H373" s="7"/>
      <c r="I373" s="7"/>
      <c r="J373" s="7"/>
      <c r="K373" s="7"/>
      <c r="L373" s="7"/>
      <c r="M373" s="7"/>
      <c r="N373" s="7"/>
      <c r="O373" s="1012"/>
      <c r="P373" s="7"/>
      <c r="S373" s="133"/>
      <c r="T373" s="133"/>
      <c r="U373" s="7"/>
    </row>
    <row r="374" spans="1:26" ht="12" hidden="1" customHeight="1" thickBot="1">
      <c r="A374" s="18" t="s">
        <v>466</v>
      </c>
      <c r="B374" s="1290">
        <f>B368/12</f>
        <v>0</v>
      </c>
      <c r="C374" s="29"/>
      <c r="D374" s="1324" t="s">
        <v>585</v>
      </c>
      <c r="E374" s="1341">
        <f>SUM(E369:E373)</f>
        <v>2212</v>
      </c>
      <c r="F374" s="7"/>
      <c r="G374" s="133"/>
      <c r="H374" s="7"/>
      <c r="I374" s="7"/>
      <c r="J374" s="7"/>
      <c r="K374" s="7"/>
      <c r="L374" s="7"/>
      <c r="M374" s="7"/>
      <c r="N374" s="7"/>
      <c r="O374" s="1012"/>
      <c r="P374" s="7"/>
      <c r="S374" s="133"/>
      <c r="T374" s="133"/>
      <c r="U374" s="7"/>
    </row>
    <row r="375" spans="1:26" ht="12" hidden="1" customHeight="1" thickBot="1">
      <c r="A375" s="1253"/>
      <c r="B375" s="1281"/>
      <c r="D375" s="654"/>
      <c r="E375" s="13"/>
      <c r="N375" s="49"/>
      <c r="O375" s="1014"/>
      <c r="U375" s="12"/>
    </row>
    <row r="376" spans="1:26" ht="12" hidden="1" customHeight="1" thickBot="1">
      <c r="A376" s="624" t="s">
        <v>580</v>
      </c>
      <c r="B376" s="13"/>
      <c r="D376" s="567"/>
      <c r="E376" s="541"/>
      <c r="O376" s="1014"/>
      <c r="U376" s="12"/>
    </row>
    <row r="377" spans="1:26" ht="12" hidden="1" customHeight="1" thickBot="1">
      <c r="A377" s="1262"/>
      <c r="B377" s="541"/>
      <c r="D377" s="567"/>
      <c r="E377" s="541"/>
      <c r="O377" s="1350"/>
      <c r="U377" s="1382"/>
    </row>
    <row r="378" spans="1:26" ht="12" hidden="1" customHeight="1">
      <c r="N378" s="49"/>
      <c r="O378" s="1014"/>
      <c r="U378" s="12"/>
    </row>
    <row r="379" spans="1:26" s="856" customFormat="1" ht="12" hidden="1" customHeight="1">
      <c r="A379" s="8"/>
      <c r="B379" s="8"/>
      <c r="C379" s="31"/>
      <c r="D379" s="31"/>
      <c r="E379" s="8"/>
      <c r="F379" s="8"/>
      <c r="G379" s="132"/>
      <c r="H379" s="8"/>
      <c r="I379" s="8"/>
      <c r="J379" s="8"/>
      <c r="K379" s="8"/>
      <c r="L379" s="8"/>
      <c r="M379" s="8"/>
      <c r="N379" s="49"/>
      <c r="O379" s="1014"/>
      <c r="P379" s="8"/>
      <c r="Q379" s="8"/>
      <c r="R379" s="685"/>
      <c r="S379" s="132"/>
      <c r="T379" s="132"/>
      <c r="U379" s="12"/>
      <c r="V379" s="8"/>
      <c r="W379" s="8"/>
      <c r="X379" s="8"/>
      <c r="Y379" s="8"/>
      <c r="Z379" s="8"/>
    </row>
    <row r="380" spans="1:26" s="856" customFormat="1" ht="12" hidden="1" customHeight="1">
      <c r="A380" s="7" t="s">
        <v>643</v>
      </c>
      <c r="B380" s="1268">
        <f>SUM(O363:O380)</f>
        <v>0</v>
      </c>
      <c r="C380" s="31"/>
      <c r="D380" s="9" t="s">
        <v>574</v>
      </c>
      <c r="E380" s="8"/>
      <c r="F380" s="8"/>
      <c r="G380" s="132"/>
      <c r="H380" s="8"/>
      <c r="I380" s="8"/>
      <c r="J380" s="8"/>
      <c r="K380" s="8"/>
      <c r="L380" s="8"/>
      <c r="M380" s="8"/>
      <c r="N380" s="49"/>
      <c r="O380" s="1014"/>
      <c r="P380" s="8"/>
      <c r="Q380" s="8"/>
      <c r="R380" s="685"/>
      <c r="S380" s="132"/>
      <c r="T380" s="132"/>
      <c r="U380" s="12"/>
      <c r="V380" s="8"/>
      <c r="W380" s="8"/>
      <c r="X380" s="8"/>
      <c r="Y380" s="8"/>
      <c r="Z380" s="8"/>
    </row>
    <row r="381" spans="1:26" s="856" customFormat="1" ht="12" hidden="1" customHeight="1">
      <c r="A381" s="7" t="s">
        <v>463</v>
      </c>
      <c r="B381" s="1274">
        <f>SUM(R363:R380)</f>
        <v>0</v>
      </c>
      <c r="C381" s="1292" t="e">
        <f>B380/B381</f>
        <v>#DIV/0!</v>
      </c>
      <c r="D381" s="1266" t="s">
        <v>575</v>
      </c>
      <c r="E381" s="8">
        <f>177*2</f>
        <v>354</v>
      </c>
      <c r="F381" s="7"/>
      <c r="G381" s="133"/>
      <c r="H381" s="7"/>
      <c r="I381" s="7"/>
      <c r="J381" s="7"/>
      <c r="K381" s="8"/>
      <c r="L381" s="7"/>
      <c r="M381" s="7"/>
      <c r="N381" s="8"/>
      <c r="O381" s="1015"/>
      <c r="P381" s="7"/>
      <c r="Q381" s="8"/>
      <c r="R381" s="685"/>
      <c r="S381" s="133"/>
      <c r="T381" s="133"/>
      <c r="U381" s="7"/>
      <c r="V381" s="8"/>
      <c r="W381" s="8"/>
      <c r="X381" s="8"/>
      <c r="Y381" s="8"/>
      <c r="Z381" s="8"/>
    </row>
    <row r="382" spans="1:26" s="856" customFormat="1" ht="12" hidden="1" customHeight="1">
      <c r="A382" s="7"/>
      <c r="B382" s="7"/>
      <c r="C382" s="29"/>
      <c r="D382" s="1266" t="s">
        <v>576</v>
      </c>
      <c r="E382" s="8">
        <f>71*10</f>
        <v>710</v>
      </c>
      <c r="F382" s="7"/>
      <c r="G382" s="133"/>
      <c r="H382" s="7"/>
      <c r="I382" s="7"/>
      <c r="J382" s="7"/>
      <c r="K382" s="797"/>
      <c r="L382" s="7"/>
      <c r="M382" s="7"/>
      <c r="N382" s="8"/>
      <c r="O382" s="1015"/>
      <c r="P382" s="7"/>
      <c r="Q382" s="8"/>
      <c r="R382" s="685"/>
      <c r="S382" s="133"/>
      <c r="T382" s="133"/>
      <c r="U382" s="7"/>
      <c r="V382" s="8"/>
      <c r="W382" s="8"/>
      <c r="X382" s="8"/>
      <c r="Y382" s="8"/>
      <c r="Z382" s="8"/>
    </row>
    <row r="383" spans="1:26" s="856" customFormat="1" ht="12" hidden="1" customHeight="1">
      <c r="A383" s="7" t="s">
        <v>464</v>
      </c>
      <c r="B383" s="1275">
        <f>1577.94*12</f>
        <v>18935.28</v>
      </c>
      <c r="C383" s="29"/>
      <c r="D383" s="1266" t="s">
        <v>667</v>
      </c>
      <c r="E383" s="8">
        <v>1544</v>
      </c>
      <c r="F383" s="7"/>
      <c r="G383" s="133"/>
      <c r="H383" s="7"/>
      <c r="I383" s="785"/>
      <c r="J383" s="7"/>
      <c r="K383" s="8"/>
      <c r="L383" s="7"/>
      <c r="M383" s="7"/>
      <c r="N383" s="773"/>
      <c r="O383" s="1012"/>
      <c r="P383" s="7"/>
      <c r="Q383" s="8"/>
      <c r="R383" s="685"/>
      <c r="S383" s="133"/>
      <c r="T383" s="133"/>
      <c r="U383" s="7"/>
      <c r="V383" s="8"/>
      <c r="W383" s="8"/>
      <c r="X383" s="8"/>
      <c r="Y383" s="8"/>
      <c r="Z383" s="8"/>
    </row>
    <row r="384" spans="1:26" s="115" customFormat="1" ht="12" hidden="1" customHeight="1">
      <c r="A384" s="7"/>
      <c r="B384" s="7"/>
      <c r="C384" s="29"/>
      <c r="D384" s="1266" t="s">
        <v>577</v>
      </c>
      <c r="E384" s="8">
        <f>617</f>
        <v>617</v>
      </c>
      <c r="F384" s="7"/>
      <c r="G384" s="133"/>
      <c r="H384" s="7"/>
      <c r="I384" s="7"/>
      <c r="J384" s="7"/>
      <c r="K384" s="8"/>
      <c r="L384" s="7"/>
      <c r="M384" s="7"/>
      <c r="N384" s="7"/>
      <c r="O384" s="1012"/>
      <c r="P384" s="7"/>
      <c r="Q384" s="798"/>
      <c r="R384" s="685"/>
      <c r="S384" s="133"/>
      <c r="T384" s="133"/>
      <c r="U384" s="784"/>
      <c r="V384" s="8"/>
      <c r="W384" s="8"/>
      <c r="X384" s="8"/>
      <c r="Y384" s="8"/>
      <c r="Z384" s="8"/>
    </row>
    <row r="385" spans="1:26" s="115" customFormat="1" ht="12" hidden="1" customHeight="1">
      <c r="A385" s="7" t="s">
        <v>465</v>
      </c>
      <c r="B385" s="773">
        <f>B380-B383-E386</f>
        <v>-22794.28</v>
      </c>
      <c r="C385" s="29"/>
      <c r="D385" s="1266" t="s">
        <v>578</v>
      </c>
      <c r="E385" s="8">
        <f>634</f>
        <v>634</v>
      </c>
      <c r="F385" s="7"/>
      <c r="G385" s="133"/>
      <c r="H385" s="7"/>
      <c r="I385" s="7"/>
      <c r="J385" s="7"/>
      <c r="K385" s="7"/>
      <c r="L385" s="7"/>
      <c r="M385" s="7"/>
      <c r="N385" s="7"/>
      <c r="O385" s="1012"/>
      <c r="P385" s="7"/>
      <c r="Q385" s="8"/>
      <c r="R385" s="685"/>
      <c r="S385" s="133"/>
      <c r="T385" s="133"/>
      <c r="U385" s="784"/>
      <c r="V385" s="8"/>
      <c r="W385" s="8"/>
      <c r="X385" s="8"/>
      <c r="Y385" s="8"/>
      <c r="Z385" s="8"/>
    </row>
    <row r="386" spans="1:26" s="115" customFormat="1" ht="12" hidden="1" customHeight="1">
      <c r="A386" s="7" t="s">
        <v>466</v>
      </c>
      <c r="B386" s="773">
        <f>B380/12</f>
        <v>0</v>
      </c>
      <c r="C386" s="29"/>
      <c r="D386" s="74" t="s">
        <v>585</v>
      </c>
      <c r="E386" s="1275">
        <f>SUM(E381:E385)</f>
        <v>3859</v>
      </c>
      <c r="F386" s="7"/>
      <c r="G386" s="133"/>
      <c r="H386" s="7"/>
      <c r="I386" s="7"/>
      <c r="J386" s="7"/>
      <c r="K386" s="7"/>
      <c r="L386" s="7"/>
      <c r="M386" s="7"/>
      <c r="N386" s="7"/>
      <c r="O386" s="1012"/>
      <c r="P386" s="7"/>
      <c r="Q386" s="8"/>
      <c r="R386" s="685"/>
      <c r="S386" s="133"/>
      <c r="T386" s="133"/>
      <c r="U386" s="784"/>
      <c r="V386" s="8"/>
      <c r="W386" s="8"/>
      <c r="X386" s="8"/>
      <c r="Y386" s="8"/>
      <c r="Z386" s="8"/>
    </row>
    <row r="387" spans="1:26" s="832" customFormat="1" ht="12" hidden="1" customHeight="1">
      <c r="A387" s="7"/>
      <c r="B387" s="773"/>
      <c r="C387" s="29"/>
      <c r="D387" s="29"/>
      <c r="E387" s="7"/>
      <c r="F387" s="7"/>
      <c r="G387" s="133"/>
      <c r="H387" s="7"/>
      <c r="I387" s="7"/>
      <c r="J387" s="7"/>
      <c r="K387" s="7"/>
      <c r="L387" s="7"/>
      <c r="M387" s="7"/>
      <c r="N387" s="7"/>
      <c r="O387" s="1012"/>
      <c r="P387" s="7"/>
      <c r="Q387" s="8"/>
      <c r="R387" s="685"/>
      <c r="S387" s="133"/>
      <c r="T387" s="133"/>
      <c r="U387" s="854"/>
      <c r="V387" s="8"/>
      <c r="W387" s="8"/>
      <c r="X387" s="8"/>
      <c r="Y387" s="8"/>
      <c r="Z387" s="8"/>
    </row>
    <row r="388" spans="1:26" s="115" customFormat="1" ht="12" hidden="1" customHeight="1">
      <c r="A388" s="7"/>
      <c r="B388" s="773"/>
      <c r="C388" s="29"/>
      <c r="D388" s="29"/>
      <c r="E388" s="7"/>
      <c r="F388" s="7"/>
      <c r="G388" s="133"/>
      <c r="H388" s="7"/>
      <c r="I388" s="7"/>
      <c r="J388" s="7"/>
      <c r="K388" s="7"/>
      <c r="L388" s="7"/>
      <c r="M388" s="7"/>
      <c r="N388" s="7"/>
      <c r="O388" s="1012"/>
      <c r="P388" s="7"/>
      <c r="Q388" s="8"/>
      <c r="R388" s="685"/>
      <c r="S388" s="133"/>
      <c r="T388" s="133"/>
      <c r="U388" s="784"/>
      <c r="V388" s="8"/>
      <c r="W388" s="8"/>
      <c r="X388" s="8"/>
      <c r="Y388" s="8"/>
      <c r="Z388" s="8"/>
    </row>
    <row r="389" spans="1:26" s="115" customFormat="1" ht="12" hidden="1" customHeight="1">
      <c r="A389" s="7"/>
      <c r="B389" s="773"/>
      <c r="C389" s="29"/>
      <c r="D389" s="29"/>
      <c r="E389" s="7"/>
      <c r="F389" s="7"/>
      <c r="G389" s="133"/>
      <c r="H389" s="7"/>
      <c r="I389" s="7"/>
      <c r="J389" s="7"/>
      <c r="K389" s="7"/>
      <c r="L389" s="7"/>
      <c r="M389" s="7"/>
      <c r="N389" s="7"/>
      <c r="O389" s="1012"/>
      <c r="P389" s="7"/>
      <c r="Q389" s="8"/>
      <c r="R389" s="685"/>
      <c r="S389" s="133"/>
      <c r="T389" s="133"/>
      <c r="U389" s="784"/>
      <c r="V389" s="8"/>
      <c r="W389" s="8"/>
      <c r="X389" s="8"/>
      <c r="Y389" s="8"/>
      <c r="Z389" s="8"/>
    </row>
    <row r="390" spans="1:26" s="115" customFormat="1" ht="12" hidden="1" customHeight="1">
      <c r="A390" s="624" t="s">
        <v>675</v>
      </c>
      <c r="B390" s="773"/>
      <c r="C390" s="29"/>
      <c r="D390" s="29"/>
      <c r="E390" s="7"/>
      <c r="F390" s="7"/>
      <c r="G390" s="133"/>
      <c r="H390" s="7"/>
      <c r="I390" s="7"/>
      <c r="J390" s="7"/>
      <c r="K390" s="7"/>
      <c r="L390" s="7"/>
      <c r="M390" s="7"/>
      <c r="N390" s="7"/>
      <c r="O390" s="1012"/>
      <c r="P390" s="7"/>
      <c r="Q390" s="8"/>
      <c r="R390" s="685"/>
      <c r="S390" s="133"/>
      <c r="T390" s="133"/>
      <c r="U390" s="784"/>
      <c r="V390" s="8"/>
      <c r="W390" s="8"/>
      <c r="X390" s="8"/>
      <c r="Y390" s="8"/>
      <c r="Z390" s="8"/>
    </row>
    <row r="391" spans="1:26" s="115" customFormat="1" ht="12" hidden="1" customHeight="1">
      <c r="A391" s="9"/>
      <c r="B391" s="773"/>
      <c r="C391" s="29"/>
      <c r="D391" s="29"/>
      <c r="E391" s="7"/>
      <c r="F391" s="7"/>
      <c r="G391" s="133"/>
      <c r="H391" s="7"/>
      <c r="I391" s="7"/>
      <c r="J391" s="7"/>
      <c r="K391" s="7"/>
      <c r="L391" s="7"/>
      <c r="M391" s="7"/>
      <c r="N391" s="7"/>
      <c r="O391" s="1012"/>
      <c r="P391" s="7"/>
      <c r="Q391" s="8"/>
      <c r="R391" s="685"/>
      <c r="S391" s="133"/>
      <c r="T391" s="133"/>
      <c r="U391" s="784"/>
      <c r="V391" s="8"/>
      <c r="W391" s="8"/>
      <c r="X391" s="8"/>
      <c r="Y391" s="8"/>
      <c r="Z391" s="8"/>
    </row>
    <row r="392" spans="1:26" s="115" customFormat="1" ht="12" hidden="1" customHeight="1">
      <c r="A392" s="7"/>
      <c r="B392" s="773"/>
      <c r="C392" s="29"/>
      <c r="D392" s="29"/>
      <c r="E392" s="8"/>
      <c r="F392" s="7"/>
      <c r="G392" s="133"/>
      <c r="H392" s="7"/>
      <c r="I392" s="7"/>
      <c r="J392" s="7"/>
      <c r="K392" s="7"/>
      <c r="L392" s="7"/>
      <c r="M392" s="7"/>
      <c r="N392" s="7"/>
      <c r="O392" s="1012"/>
      <c r="P392" s="7"/>
      <c r="Q392" s="8"/>
      <c r="R392" s="685"/>
      <c r="S392" s="133"/>
      <c r="T392" s="133"/>
      <c r="U392" s="784"/>
      <c r="V392" s="8"/>
      <c r="W392" s="8"/>
      <c r="X392" s="8"/>
      <c r="Y392" s="8"/>
      <c r="Z392" s="8"/>
    </row>
    <row r="393" spans="1:26" s="115" customFormat="1" ht="12" hidden="1" customHeight="1">
      <c r="A393" s="7" t="s">
        <v>676</v>
      </c>
      <c r="B393" s="1268">
        <f>SUM(O372:O393)</f>
        <v>0</v>
      </c>
      <c r="C393" s="804" t="e">
        <f>B393/B360</f>
        <v>#DIV/0!</v>
      </c>
      <c r="D393" s="9" t="s">
        <v>574</v>
      </c>
      <c r="E393" s="8"/>
      <c r="F393" s="7"/>
      <c r="G393" s="133"/>
      <c r="H393" s="7"/>
      <c r="I393" s="7"/>
      <c r="J393" s="7"/>
      <c r="K393" s="7"/>
      <c r="L393" s="7"/>
      <c r="M393" s="7"/>
      <c r="N393" s="7"/>
      <c r="O393" s="1012"/>
      <c r="P393" s="7"/>
      <c r="Q393" s="8"/>
      <c r="R393" s="685"/>
      <c r="S393" s="133"/>
      <c r="T393" s="133"/>
      <c r="U393" s="784"/>
      <c r="V393" s="8"/>
      <c r="W393" s="8"/>
      <c r="X393" s="8"/>
      <c r="Y393" s="8"/>
      <c r="Z393" s="8"/>
    </row>
    <row r="394" spans="1:26" s="115" customFormat="1" ht="12" hidden="1" customHeight="1">
      <c r="A394" s="7" t="s">
        <v>463</v>
      </c>
      <c r="B394" s="1274">
        <f>SUM(R361:R393)</f>
        <v>0</v>
      </c>
      <c r="C394" s="1292" t="e">
        <f>B393/B394</f>
        <v>#DIV/0!</v>
      </c>
      <c r="D394" s="1266" t="s">
        <v>575</v>
      </c>
      <c r="E394" s="8"/>
      <c r="F394" s="7"/>
      <c r="G394" s="133"/>
      <c r="H394" s="7"/>
      <c r="I394" s="7"/>
      <c r="J394" s="7"/>
      <c r="K394" s="7"/>
      <c r="L394" s="7"/>
      <c r="M394" s="7"/>
      <c r="N394" s="7"/>
      <c r="O394" s="1012" t="s">
        <v>771</v>
      </c>
      <c r="P394" s="7"/>
      <c r="Q394" s="8"/>
      <c r="R394" s="685"/>
      <c r="S394" s="133"/>
      <c r="T394" s="133"/>
      <c r="U394" s="784"/>
      <c r="V394" s="8"/>
      <c r="W394" s="8"/>
      <c r="X394" s="8"/>
      <c r="Y394" s="8"/>
      <c r="Z394" s="8"/>
    </row>
    <row r="395" spans="1:26" s="115" customFormat="1" ht="12" hidden="1" customHeight="1">
      <c r="A395" s="7"/>
      <c r="B395" s="7"/>
      <c r="C395" s="29"/>
      <c r="D395" s="1266" t="s">
        <v>576</v>
      </c>
      <c r="E395" s="8"/>
      <c r="F395" s="7"/>
      <c r="G395" s="133"/>
      <c r="H395" s="7"/>
      <c r="I395" s="7"/>
      <c r="J395" s="7"/>
      <c r="K395" s="7"/>
      <c r="L395" s="7"/>
      <c r="M395" s="7"/>
      <c r="N395" s="7"/>
      <c r="O395" s="1012"/>
      <c r="P395" s="7"/>
      <c r="Q395" s="8"/>
      <c r="R395" s="685"/>
      <c r="S395" s="133"/>
      <c r="T395" s="133"/>
      <c r="U395" s="784"/>
      <c r="V395" s="8"/>
      <c r="W395" s="8"/>
      <c r="X395" s="8"/>
      <c r="Y395" s="8"/>
      <c r="Z395" s="8"/>
    </row>
    <row r="396" spans="1:26" s="115" customFormat="1" ht="12" hidden="1" customHeight="1">
      <c r="A396" s="7" t="s">
        <v>464</v>
      </c>
      <c r="B396" s="1275">
        <f>1577.94*12</f>
        <v>18935.28</v>
      </c>
      <c r="C396" s="29"/>
      <c r="D396" s="1266" t="s">
        <v>677</v>
      </c>
      <c r="E396" s="8"/>
      <c r="F396" s="7"/>
      <c r="G396" s="133"/>
      <c r="H396" s="7"/>
      <c r="I396" s="7"/>
      <c r="J396" s="7"/>
      <c r="K396" s="7"/>
      <c r="L396" s="7"/>
      <c r="M396" s="7"/>
      <c r="N396" s="7"/>
      <c r="O396" s="1012"/>
      <c r="P396" s="7"/>
      <c r="Q396" s="8"/>
      <c r="R396" s="685"/>
      <c r="S396" s="133"/>
      <c r="T396" s="133"/>
      <c r="U396" s="784"/>
      <c r="V396" s="8"/>
      <c r="W396" s="8"/>
      <c r="X396" s="8"/>
      <c r="Y396" s="8"/>
      <c r="Z396" s="8"/>
    </row>
    <row r="397" spans="1:26" s="115" customFormat="1" ht="12" hidden="1" customHeight="1">
      <c r="A397" s="7"/>
      <c r="B397" s="7"/>
      <c r="C397" s="29"/>
      <c r="D397" s="1266" t="s">
        <v>577</v>
      </c>
      <c r="E397" s="8"/>
      <c r="F397" s="7"/>
      <c r="G397" s="133"/>
      <c r="H397" s="7"/>
      <c r="I397" s="7"/>
      <c r="J397" s="7"/>
      <c r="K397" s="7">
        <f>290.5*4-70-42</f>
        <v>1050</v>
      </c>
      <c r="L397" s="7"/>
      <c r="M397" s="7"/>
      <c r="N397" s="7"/>
      <c r="O397" s="1012">
        <f>1190+1290</f>
        <v>2480</v>
      </c>
      <c r="P397" s="7"/>
      <c r="Q397" s="8"/>
      <c r="R397" s="685"/>
      <c r="S397" s="133"/>
      <c r="T397" s="133"/>
      <c r="U397" s="784"/>
      <c r="V397" s="8"/>
      <c r="W397" s="8"/>
      <c r="X397" s="8"/>
      <c r="Y397" s="8"/>
      <c r="Z397" s="8"/>
    </row>
    <row r="398" spans="1:26" s="115" customFormat="1" ht="12" hidden="1" customHeight="1">
      <c r="A398" s="7" t="s">
        <v>465</v>
      </c>
      <c r="B398" s="773">
        <f>B393-B396-E399</f>
        <v>-18935.28</v>
      </c>
      <c r="C398" s="29"/>
      <c r="D398" s="1266" t="s">
        <v>578</v>
      </c>
      <c r="E398" s="8"/>
      <c r="F398" s="7"/>
      <c r="G398" s="133"/>
      <c r="H398" s="7"/>
      <c r="I398" s="7"/>
      <c r="J398" s="7"/>
      <c r="K398" s="7"/>
      <c r="L398" s="773"/>
      <c r="M398" s="7"/>
      <c r="N398" s="7"/>
      <c r="O398" s="1012"/>
      <c r="P398" s="7"/>
      <c r="Q398" s="8"/>
      <c r="R398" s="685"/>
      <c r="S398" s="133"/>
      <c r="T398" s="133"/>
      <c r="U398" s="784"/>
      <c r="V398" s="8"/>
      <c r="W398" s="8"/>
      <c r="X398" s="8"/>
      <c r="Y398" s="8"/>
      <c r="Z398" s="8"/>
    </row>
    <row r="399" spans="1:26" s="115" customFormat="1" ht="12" hidden="1" customHeight="1">
      <c r="A399" s="7" t="s">
        <v>466</v>
      </c>
      <c r="B399" s="773">
        <f>B393/12</f>
        <v>0</v>
      </c>
      <c r="C399" s="29"/>
      <c r="D399" s="74" t="s">
        <v>585</v>
      </c>
      <c r="E399" s="1275">
        <f>SUM(E394:E398)</f>
        <v>0</v>
      </c>
      <c r="F399" s="7"/>
      <c r="G399" s="133"/>
      <c r="H399" s="7"/>
      <c r="I399" s="7"/>
      <c r="J399" s="7"/>
      <c r="K399" s="7"/>
      <c r="L399" s="7"/>
      <c r="M399" s="7"/>
      <c r="N399" s="7"/>
      <c r="O399" s="1012"/>
      <c r="P399" s="7"/>
      <c r="Q399" s="8"/>
      <c r="R399" s="685"/>
      <c r="S399" s="133"/>
      <c r="T399" s="133">
        <f>O383-U383</f>
        <v>0</v>
      </c>
      <c r="U399" s="784"/>
      <c r="V399" s="8"/>
      <c r="W399" s="8"/>
      <c r="X399" s="8"/>
      <c r="Y399" s="8"/>
      <c r="Z399" s="8"/>
    </row>
    <row r="400" spans="1:26" s="838" customFormat="1" ht="12" hidden="1" customHeight="1">
      <c r="A400" s="7"/>
      <c r="B400" s="773"/>
      <c r="C400" s="29"/>
      <c r="D400" s="29"/>
      <c r="E400" s="7"/>
      <c r="F400" s="7"/>
      <c r="G400" s="133"/>
      <c r="H400" s="7"/>
      <c r="I400" s="7"/>
      <c r="J400" s="7"/>
      <c r="K400" s="7"/>
      <c r="L400" s="7"/>
      <c r="M400" s="7"/>
      <c r="N400" s="7"/>
      <c r="O400" s="1012"/>
      <c r="P400" s="7"/>
      <c r="Q400" s="8"/>
      <c r="R400" s="685"/>
      <c r="S400" s="133"/>
      <c r="T400" s="133"/>
      <c r="U400" s="784"/>
      <c r="V400" s="8"/>
      <c r="W400" s="8"/>
      <c r="X400" s="8"/>
      <c r="Y400" s="8"/>
      <c r="Z400" s="8"/>
    </row>
    <row r="401" spans="1:26" s="838" customFormat="1" ht="12" hidden="1" customHeight="1">
      <c r="A401" s="7"/>
      <c r="B401" s="773"/>
      <c r="C401" s="29"/>
      <c r="D401" s="29"/>
      <c r="E401" s="7"/>
      <c r="F401" s="7"/>
      <c r="G401" s="133"/>
      <c r="H401" s="7"/>
      <c r="I401" s="7"/>
      <c r="J401" s="7"/>
      <c r="K401" s="7"/>
      <c r="L401" s="7"/>
      <c r="M401" s="7"/>
      <c r="N401" s="7"/>
      <c r="O401" s="1012"/>
      <c r="P401" s="7"/>
      <c r="Q401" s="8"/>
      <c r="R401" s="685"/>
      <c r="S401" s="133"/>
      <c r="T401" s="133"/>
      <c r="U401" s="784"/>
      <c r="V401" s="8"/>
      <c r="W401" s="8"/>
      <c r="X401" s="8"/>
      <c r="Y401" s="8"/>
      <c r="Z401" s="8"/>
    </row>
    <row r="402" spans="1:26" s="115" customFormat="1" ht="12" hidden="1" customHeight="1">
      <c r="A402" s="7"/>
      <c r="B402" s="773"/>
      <c r="C402" s="29"/>
      <c r="D402" s="29"/>
      <c r="E402" s="7"/>
      <c r="F402" s="7"/>
      <c r="G402" s="133"/>
      <c r="H402" s="7"/>
      <c r="I402" s="7"/>
      <c r="J402" s="7"/>
      <c r="K402" s="7"/>
      <c r="L402" s="7"/>
      <c r="M402" s="7"/>
      <c r="N402" s="7"/>
      <c r="O402" s="1012"/>
      <c r="P402" s="7"/>
      <c r="Q402" s="8"/>
      <c r="R402" s="685"/>
      <c r="S402" s="133"/>
      <c r="T402" s="133"/>
      <c r="U402" s="784"/>
      <c r="V402" s="8"/>
      <c r="W402" s="8"/>
      <c r="X402" s="8"/>
      <c r="Y402" s="8"/>
      <c r="Z402" s="8"/>
    </row>
    <row r="403" spans="1:26" s="115" customFormat="1" ht="12" hidden="1" customHeight="1">
      <c r="A403" s="9" t="s">
        <v>826</v>
      </c>
      <c r="B403" s="773"/>
      <c r="C403" s="29"/>
      <c r="D403" s="29"/>
      <c r="E403" s="7"/>
      <c r="F403" s="7"/>
      <c r="G403" s="133"/>
      <c r="H403" s="7"/>
      <c r="I403" s="7"/>
      <c r="J403" s="7"/>
      <c r="K403" s="7"/>
      <c r="L403" s="7"/>
      <c r="M403" s="7"/>
      <c r="N403" s="7"/>
      <c r="O403" s="1012"/>
      <c r="P403" s="7"/>
      <c r="Q403" s="8"/>
      <c r="R403" s="685"/>
      <c r="S403" s="133"/>
      <c r="T403" s="133"/>
      <c r="U403" s="1361"/>
      <c r="V403" s="8"/>
      <c r="W403" s="8"/>
      <c r="X403" s="8"/>
      <c r="Y403" s="8"/>
      <c r="Z403" s="8"/>
    </row>
    <row r="404" spans="1:26" s="115" customFormat="1" ht="12" hidden="1" customHeight="1">
      <c r="A404" s="8"/>
      <c r="B404" s="7"/>
      <c r="C404" s="29"/>
      <c r="D404" s="29"/>
      <c r="E404" s="8"/>
      <c r="F404" s="7"/>
      <c r="G404" s="133"/>
      <c r="H404" s="7"/>
      <c r="I404" s="7"/>
      <c r="J404" s="7"/>
      <c r="K404" s="7"/>
      <c r="L404" s="7"/>
      <c r="M404" s="7"/>
      <c r="N404" s="773"/>
      <c r="O404" s="1012"/>
      <c r="P404" s="7"/>
      <c r="Q404" s="8"/>
      <c r="R404" s="685"/>
      <c r="S404" s="133"/>
      <c r="T404" s="133"/>
      <c r="U404" s="1361"/>
      <c r="V404" s="8"/>
      <c r="W404" s="8"/>
      <c r="X404" s="8"/>
      <c r="Y404" s="8"/>
      <c r="Z404" s="8"/>
    </row>
    <row r="405" spans="1:26" s="115" customFormat="1" ht="12" hidden="1" customHeight="1">
      <c r="A405" s="7"/>
      <c r="B405" s="773"/>
      <c r="C405" s="29"/>
      <c r="D405" s="29"/>
      <c r="E405" s="8"/>
      <c r="F405" s="7"/>
      <c r="G405" s="133"/>
      <c r="H405" s="7"/>
      <c r="I405" s="7"/>
      <c r="J405" s="7"/>
      <c r="K405" s="7"/>
      <c r="L405" s="7"/>
      <c r="M405" s="7"/>
      <c r="N405" s="7"/>
      <c r="O405" s="1012"/>
      <c r="P405" s="7"/>
      <c r="Q405" s="8"/>
      <c r="R405" s="685"/>
      <c r="S405" s="133"/>
      <c r="T405" s="133"/>
      <c r="U405" s="1361"/>
      <c r="V405" s="796"/>
      <c r="W405" s="8"/>
      <c r="X405" s="8"/>
      <c r="Y405" s="8"/>
      <c r="Z405" s="8"/>
    </row>
    <row r="406" spans="1:26" s="115" customFormat="1" ht="12" hidden="1" customHeight="1">
      <c r="A406" s="7" t="s">
        <v>861</v>
      </c>
      <c r="B406" s="1268">
        <f>SUM(O384:O406)</f>
        <v>2480</v>
      </c>
      <c r="C406" s="804" t="e">
        <f>B406/B374</f>
        <v>#DIV/0!</v>
      </c>
      <c r="D406" s="9" t="s">
        <v>574</v>
      </c>
      <c r="E406" s="8"/>
      <c r="F406" s="7"/>
      <c r="G406" s="133"/>
      <c r="H406" s="7"/>
      <c r="I406" s="7"/>
      <c r="J406" s="7"/>
      <c r="K406" s="7"/>
      <c r="L406" s="7"/>
      <c r="M406" s="7"/>
      <c r="N406" s="7"/>
      <c r="O406" s="1012"/>
      <c r="P406" s="7"/>
      <c r="Q406" s="8"/>
      <c r="R406" s="685"/>
      <c r="S406" s="133"/>
      <c r="T406" s="133"/>
      <c r="U406" s="1361"/>
      <c r="V406" s="8"/>
      <c r="W406" s="8"/>
      <c r="X406" s="8"/>
      <c r="Y406" s="8"/>
      <c r="Z406" s="8"/>
    </row>
    <row r="407" spans="1:26" s="115" customFormat="1" ht="12" hidden="1" customHeight="1">
      <c r="A407" s="7" t="s">
        <v>463</v>
      </c>
      <c r="B407" s="1274">
        <f>SUM(R373:R406)</f>
        <v>0</v>
      </c>
      <c r="C407" s="1292" t="e">
        <f>B406/B407</f>
        <v>#DIV/0!</v>
      </c>
      <c r="D407" s="1266" t="s">
        <v>575</v>
      </c>
      <c r="E407" s="8"/>
      <c r="F407" s="7"/>
      <c r="G407" s="133"/>
      <c r="H407" s="7"/>
      <c r="I407" s="7"/>
      <c r="J407" s="7"/>
      <c r="K407" s="7"/>
      <c r="L407" s="7"/>
      <c r="M407" s="7"/>
      <c r="N407" s="7"/>
      <c r="O407" s="1012" t="s">
        <v>771</v>
      </c>
      <c r="P407" s="7"/>
      <c r="Q407" s="8"/>
      <c r="R407" s="685"/>
      <c r="S407" s="133"/>
      <c r="T407" s="133"/>
      <c r="U407" s="1369">
        <f>O397-U397+O398-U398+70+5*3*14</f>
        <v>2760</v>
      </c>
      <c r="V407" s="8"/>
      <c r="W407" s="8"/>
      <c r="X407" s="8"/>
      <c r="Y407" s="8"/>
      <c r="Z407" s="8"/>
    </row>
    <row r="408" spans="1:26" ht="12" hidden="1" customHeight="1">
      <c r="A408" s="7"/>
      <c r="B408" s="7"/>
      <c r="C408" s="29"/>
      <c r="D408" s="1266" t="s">
        <v>576</v>
      </c>
      <c r="F408" s="7"/>
      <c r="G408" s="133"/>
      <c r="H408" s="7"/>
      <c r="I408" s="7"/>
      <c r="J408" s="7"/>
      <c r="K408" s="7"/>
      <c r="L408" s="7"/>
      <c r="M408" s="7"/>
      <c r="N408" s="7"/>
      <c r="O408" s="1012"/>
      <c r="P408" s="7"/>
      <c r="S408" s="133">
        <f>O398-U398</f>
        <v>0</v>
      </c>
      <c r="T408" s="133"/>
      <c r="U408" s="806">
        <f>O399-U399+O400-U400+O401-U401</f>
        <v>0</v>
      </c>
    </row>
    <row r="409" spans="1:26" ht="12" hidden="1" customHeight="1">
      <c r="A409" s="7" t="s">
        <v>464</v>
      </c>
      <c r="B409" s="1275">
        <f>1577.94*12</f>
        <v>18935.28</v>
      </c>
      <c r="C409" s="29"/>
      <c r="D409" s="1266" t="s">
        <v>677</v>
      </c>
      <c r="F409" s="7"/>
      <c r="G409" s="133"/>
      <c r="H409" s="7"/>
      <c r="I409" s="7"/>
      <c r="J409" s="7"/>
      <c r="K409" s="7"/>
      <c r="L409" s="7"/>
      <c r="M409" s="7"/>
      <c r="N409" s="7"/>
      <c r="O409" s="1012"/>
      <c r="P409" s="7"/>
      <c r="S409" s="133"/>
      <c r="T409" s="133"/>
      <c r="U409" s="806">
        <f>U407+U408</f>
        <v>2760</v>
      </c>
    </row>
    <row r="410" spans="1:26" ht="12" hidden="1" customHeight="1">
      <c r="A410" s="7"/>
      <c r="B410" s="7"/>
      <c r="C410" s="29"/>
      <c r="D410" s="1266" t="s">
        <v>577</v>
      </c>
      <c r="F410" s="7"/>
      <c r="G410" s="133"/>
      <c r="H410" s="7" t="s">
        <v>1026</v>
      </c>
      <c r="I410" s="7"/>
      <c r="J410" s="7"/>
      <c r="K410" s="7"/>
      <c r="L410" s="7"/>
      <c r="M410" s="7"/>
      <c r="N410" s="7"/>
      <c r="O410" s="1012">
        <f>1190+1290</f>
        <v>2480</v>
      </c>
      <c r="P410" s="7"/>
      <c r="S410" s="133"/>
      <c r="T410" s="133"/>
      <c r="U410" s="7"/>
    </row>
    <row r="411" spans="1:26" ht="12" hidden="1" customHeight="1">
      <c r="A411" s="7" t="s">
        <v>465</v>
      </c>
      <c r="B411" s="773">
        <f>B406-B409-E412</f>
        <v>-16455.28</v>
      </c>
      <c r="C411" s="29"/>
      <c r="D411" s="1266" t="s">
        <v>578</v>
      </c>
      <c r="F411" s="7"/>
      <c r="G411" s="133"/>
      <c r="H411" s="7"/>
      <c r="I411" s="7"/>
      <c r="J411" s="7"/>
      <c r="K411" s="7"/>
      <c r="L411" s="773"/>
      <c r="M411" s="7"/>
      <c r="N411" s="7"/>
      <c r="O411" s="1012"/>
      <c r="P411" s="7"/>
      <c r="S411" s="133"/>
      <c r="T411" s="133"/>
      <c r="U411" s="7"/>
    </row>
    <row r="412" spans="1:26" ht="12" hidden="1" customHeight="1" thickBot="1">
      <c r="A412" s="7" t="s">
        <v>1045</v>
      </c>
      <c r="B412" s="773">
        <f>B406/12</f>
        <v>206.66666666666666</v>
      </c>
      <c r="C412" s="29"/>
      <c r="D412" s="74" t="s">
        <v>585</v>
      </c>
      <c r="E412" s="1275">
        <f>SUM(E407:E411)</f>
        <v>0</v>
      </c>
      <c r="F412" s="7"/>
      <c r="G412" s="133"/>
      <c r="H412" s="7"/>
      <c r="I412" s="7"/>
      <c r="J412" s="7"/>
      <c r="K412" s="7"/>
      <c r="L412" s="7"/>
      <c r="M412" s="7"/>
      <c r="N412" s="7"/>
      <c r="O412" s="1012"/>
      <c r="P412" s="7"/>
      <c r="S412" s="133"/>
      <c r="T412" s="133"/>
      <c r="U412" s="7"/>
    </row>
    <row r="413" spans="1:26" ht="12" hidden="1" customHeight="1" thickBot="1">
      <c r="A413" s="18"/>
      <c r="B413" s="782"/>
      <c r="C413" s="29"/>
      <c r="D413" s="1316"/>
      <c r="E413" s="1335"/>
      <c r="F413" s="7"/>
      <c r="G413" s="133"/>
      <c r="H413" s="7"/>
      <c r="I413" s="7"/>
      <c r="J413" s="7"/>
      <c r="K413" s="7"/>
      <c r="L413" s="7"/>
      <c r="M413" s="7"/>
      <c r="N413" s="7"/>
      <c r="O413" s="1012"/>
      <c r="P413" s="7"/>
      <c r="S413" s="133"/>
      <c r="T413" s="133"/>
      <c r="U413" s="7"/>
    </row>
    <row r="414" spans="1:26" ht="12" hidden="1" customHeight="1" thickBot="1">
      <c r="A414" s="768"/>
      <c r="B414" s="541"/>
      <c r="C414" s="1295"/>
      <c r="D414" s="1313"/>
      <c r="E414" s="784"/>
      <c r="F414" s="7"/>
      <c r="G414" s="133"/>
      <c r="H414" s="7"/>
      <c r="I414" s="7"/>
      <c r="J414" s="7"/>
      <c r="K414" s="7"/>
      <c r="L414" s="7"/>
      <c r="M414" s="7"/>
      <c r="N414" s="7"/>
      <c r="O414" s="1012"/>
      <c r="P414" s="7"/>
      <c r="S414" s="133"/>
      <c r="T414" s="133"/>
      <c r="U414" s="7"/>
    </row>
    <row r="415" spans="1:26" ht="12" hidden="1" customHeight="1" thickBot="1">
      <c r="A415" s="9" t="s">
        <v>952</v>
      </c>
      <c r="B415" s="773"/>
      <c r="C415" s="29"/>
      <c r="D415" s="1324"/>
      <c r="E415" s="784"/>
      <c r="F415" s="7"/>
      <c r="G415" s="133"/>
      <c r="H415" s="7"/>
      <c r="I415" s="7"/>
      <c r="J415" s="7"/>
      <c r="K415" s="7"/>
      <c r="L415" s="7"/>
      <c r="M415" s="7"/>
      <c r="N415" s="7"/>
      <c r="O415" s="1012"/>
      <c r="P415" s="7"/>
      <c r="S415" s="133"/>
      <c r="T415" s="133"/>
      <c r="U415" s="74"/>
    </row>
    <row r="416" spans="1:26" ht="12" hidden="1" customHeight="1" thickBot="1">
      <c r="A416" s="1244"/>
      <c r="B416" s="782"/>
      <c r="D416" s="654"/>
      <c r="E416" s="13"/>
      <c r="H416" s="808"/>
      <c r="N416" s="49"/>
      <c r="O416" s="1014"/>
      <c r="U416" s="603"/>
    </row>
    <row r="417" spans="1:26" ht="12" hidden="1" customHeight="1" thickBot="1">
      <c r="A417" s="1252"/>
      <c r="B417" s="1281"/>
      <c r="D417" s="654"/>
      <c r="E417" s="13"/>
      <c r="N417" s="49"/>
      <c r="O417" s="1014"/>
      <c r="U417" s="1355"/>
      <c r="V417" s="11"/>
    </row>
    <row r="418" spans="1:26" ht="12" hidden="1" customHeight="1" thickBot="1">
      <c r="A418" s="1245"/>
      <c r="B418" s="13"/>
      <c r="D418" s="567"/>
      <c r="E418" s="1328"/>
      <c r="N418" s="49"/>
      <c r="O418" s="1014"/>
      <c r="U418" s="1355"/>
      <c r="V418" s="86"/>
    </row>
    <row r="419" spans="1:26" ht="12" hidden="1" customHeight="1" thickBot="1">
      <c r="A419" s="1241"/>
      <c r="B419" s="541"/>
      <c r="D419" s="567"/>
      <c r="E419" s="1328"/>
      <c r="N419" s="49"/>
      <c r="O419" s="1014"/>
      <c r="U419" s="603"/>
      <c r="V419" s="86"/>
    </row>
    <row r="420" spans="1:26" ht="10.8" hidden="1">
      <c r="A420" s="49"/>
      <c r="E420" s="811"/>
      <c r="N420" s="49"/>
      <c r="O420" s="1014"/>
      <c r="U420" s="1355"/>
      <c r="V420" s="86"/>
    </row>
    <row r="421" spans="1:26" ht="12" hidden="1" customHeight="1">
      <c r="A421" s="1242"/>
      <c r="N421" s="49"/>
      <c r="O421" s="1014"/>
      <c r="U421" s="812"/>
      <c r="V421" s="86"/>
    </row>
    <row r="422" spans="1:26" ht="12" hidden="1" customHeight="1">
      <c r="A422" s="10"/>
      <c r="N422" s="49"/>
      <c r="O422" s="1014"/>
      <c r="U422" s="812"/>
      <c r="V422" s="86"/>
    </row>
    <row r="423" spans="1:26" s="856" customFormat="1" ht="12" hidden="1" customHeight="1">
      <c r="A423" s="8"/>
      <c r="B423" s="8"/>
      <c r="C423" s="31"/>
      <c r="D423" s="31"/>
      <c r="E423" s="8"/>
      <c r="F423" s="8"/>
      <c r="G423" s="132"/>
      <c r="H423" s="8"/>
      <c r="I423" s="8"/>
      <c r="J423" s="8"/>
      <c r="K423" s="8"/>
      <c r="L423" s="8"/>
      <c r="M423" s="8"/>
      <c r="N423" s="73"/>
      <c r="O423" s="1014"/>
      <c r="P423" s="8"/>
      <c r="Q423" s="8"/>
      <c r="R423" s="685"/>
      <c r="S423" s="132"/>
      <c r="T423" s="132"/>
      <c r="U423" s="1356"/>
      <c r="V423" s="8"/>
      <c r="W423" s="8"/>
      <c r="X423" s="8"/>
      <c r="Y423" s="8"/>
      <c r="Z423" s="8"/>
    </row>
    <row r="424" spans="1:26" s="355" customFormat="1" ht="12" hidden="1" customHeight="1">
      <c r="A424" s="8"/>
      <c r="B424" s="8"/>
      <c r="C424" s="31"/>
      <c r="D424" s="31"/>
      <c r="E424" s="811"/>
      <c r="F424" s="8"/>
      <c r="G424" s="132"/>
      <c r="H424" s="8"/>
      <c r="I424" s="8"/>
      <c r="J424" s="8"/>
      <c r="K424" s="8"/>
      <c r="L424" s="814">
        <f>O410-U410</f>
        <v>2480</v>
      </c>
      <c r="M424" s="8"/>
      <c r="N424" s="73"/>
      <c r="O424" s="1014"/>
      <c r="P424" s="8"/>
      <c r="Q424" s="8"/>
      <c r="R424" s="685"/>
      <c r="S424" s="132">
        <f>O413-U413</f>
        <v>0</v>
      </c>
      <c r="T424" s="132"/>
      <c r="U424" s="810"/>
      <c r="V424" s="8"/>
      <c r="W424" s="8"/>
      <c r="X424" s="8"/>
      <c r="Y424" s="8"/>
      <c r="Z424" s="8"/>
    </row>
    <row r="425" spans="1:26" s="355" customFormat="1" ht="12" hidden="1" customHeight="1">
      <c r="A425" s="8"/>
      <c r="B425" s="8"/>
      <c r="C425" s="31"/>
      <c r="D425" s="31"/>
      <c r="E425" s="8"/>
      <c r="F425" s="8"/>
      <c r="G425" s="132"/>
      <c r="H425" s="8"/>
      <c r="I425" s="8"/>
      <c r="J425" s="8"/>
      <c r="K425" s="8"/>
      <c r="L425" s="8"/>
      <c r="M425" s="8"/>
      <c r="N425" s="49"/>
      <c r="O425" s="1014"/>
      <c r="P425" s="8"/>
      <c r="Q425" s="8"/>
      <c r="R425" s="685"/>
      <c r="S425" s="132"/>
      <c r="T425" s="132"/>
      <c r="U425" s="810"/>
      <c r="V425" s="8"/>
      <c r="W425" s="8"/>
      <c r="X425" s="8"/>
      <c r="Y425" s="8"/>
      <c r="Z425" s="8"/>
    </row>
    <row r="426" spans="1:26" s="115" customFormat="1" ht="12" hidden="1" customHeight="1">
      <c r="A426" s="8"/>
      <c r="B426" s="8"/>
      <c r="C426" s="31"/>
      <c r="D426" s="31"/>
      <c r="E426" s="8"/>
      <c r="F426" s="8"/>
      <c r="G426" s="132"/>
      <c r="H426" s="8"/>
      <c r="I426" s="8"/>
      <c r="J426" s="8"/>
      <c r="K426" s="8"/>
      <c r="L426" s="8"/>
      <c r="M426" s="8"/>
      <c r="N426" s="49"/>
      <c r="O426" s="1014"/>
      <c r="P426" s="8"/>
      <c r="Q426" s="8"/>
      <c r="R426" s="685"/>
      <c r="S426" s="132"/>
      <c r="T426" s="132"/>
      <c r="U426" s="810"/>
      <c r="V426" s="8"/>
      <c r="W426" s="8"/>
      <c r="X426" s="8"/>
      <c r="Y426" s="8"/>
      <c r="Z426" s="8"/>
    </row>
    <row r="427" spans="1:26" s="355" customFormat="1" ht="12" hidden="1" customHeight="1">
      <c r="A427" s="8"/>
      <c r="B427" s="8"/>
      <c r="C427" s="31"/>
      <c r="D427" s="31"/>
      <c r="E427" s="8"/>
      <c r="F427" s="8"/>
      <c r="G427" s="132"/>
      <c r="H427" s="8"/>
      <c r="I427" s="8"/>
      <c r="J427" s="8"/>
      <c r="K427" s="8"/>
      <c r="L427" s="8"/>
      <c r="M427" s="8"/>
      <c r="N427" s="49"/>
      <c r="O427" s="1014"/>
      <c r="P427" s="8"/>
      <c r="Q427" s="8"/>
      <c r="R427" s="685"/>
      <c r="S427" s="132"/>
      <c r="T427" s="132"/>
      <c r="U427" s="810"/>
      <c r="V427" s="8"/>
      <c r="W427" s="8"/>
      <c r="X427" s="8"/>
      <c r="Y427" s="8"/>
      <c r="Z427" s="8"/>
    </row>
    <row r="428" spans="1:26" s="115" customFormat="1" ht="12" hidden="1" customHeight="1">
      <c r="A428" s="8"/>
      <c r="B428" s="8"/>
      <c r="C428" s="31"/>
      <c r="D428" s="31"/>
      <c r="E428" s="8"/>
      <c r="F428" s="8"/>
      <c r="G428" s="132"/>
      <c r="H428" s="8"/>
      <c r="I428" s="8"/>
      <c r="J428" s="8"/>
      <c r="K428" s="8"/>
      <c r="L428" s="8"/>
      <c r="M428" s="8"/>
      <c r="N428" s="49"/>
      <c r="O428" s="1014"/>
      <c r="P428" s="8"/>
      <c r="Q428" s="8"/>
      <c r="R428" s="685"/>
      <c r="S428" s="132"/>
      <c r="T428" s="132"/>
      <c r="U428" s="1355"/>
      <c r="V428" s="8"/>
      <c r="W428" s="8"/>
      <c r="X428" s="8"/>
      <c r="Y428" s="8"/>
      <c r="Z428" s="8"/>
    </row>
    <row r="429" spans="1:26" s="115" customFormat="1" ht="12" hidden="1" customHeight="1">
      <c r="A429" s="7"/>
      <c r="B429" s="7"/>
      <c r="C429" s="29"/>
      <c r="D429" s="29"/>
      <c r="E429" s="8"/>
      <c r="F429" s="7"/>
      <c r="G429" s="133"/>
      <c r="H429" s="7"/>
      <c r="I429" s="7"/>
      <c r="J429" s="7"/>
      <c r="K429" s="7"/>
      <c r="L429" s="773"/>
      <c r="M429" s="7"/>
      <c r="N429" s="773"/>
      <c r="O429" s="1012"/>
      <c r="P429" s="7"/>
      <c r="Q429" s="8"/>
      <c r="R429" s="685"/>
      <c r="S429" s="133"/>
      <c r="T429" s="133"/>
      <c r="U429" s="74"/>
      <c r="V429" s="8"/>
      <c r="W429" s="8"/>
      <c r="X429" s="8"/>
      <c r="Y429" s="8"/>
      <c r="Z429" s="8"/>
    </row>
    <row r="430" spans="1:26" s="355" customFormat="1" ht="12" hidden="1" customHeight="1">
      <c r="A430" s="7"/>
      <c r="B430" s="773"/>
      <c r="C430" s="29"/>
      <c r="D430" s="29"/>
      <c r="E430" s="8"/>
      <c r="F430" s="7"/>
      <c r="G430" s="133"/>
      <c r="H430" s="7"/>
      <c r="I430" s="7"/>
      <c r="J430" s="7"/>
      <c r="K430" s="7"/>
      <c r="L430" s="7"/>
      <c r="M430" s="7"/>
      <c r="N430" s="7"/>
      <c r="O430" s="1012"/>
      <c r="P430" s="7"/>
      <c r="Q430" s="8"/>
      <c r="R430" s="685"/>
      <c r="S430" s="133"/>
      <c r="T430" s="133"/>
      <c r="U430" s="1361"/>
      <c r="V430" s="796"/>
      <c r="W430" s="8"/>
      <c r="X430" s="8"/>
      <c r="Y430" s="8"/>
      <c r="Z430" s="8"/>
    </row>
    <row r="431" spans="1:26" s="115" customFormat="1" ht="12" hidden="1" customHeight="1">
      <c r="A431" s="7" t="s">
        <v>1143</v>
      </c>
      <c r="B431" s="1268">
        <f>SUM(O397:O431)</f>
        <v>4960</v>
      </c>
      <c r="C431" s="804" t="e">
        <f>B431/B388</f>
        <v>#DIV/0!</v>
      </c>
      <c r="D431" s="9" t="s">
        <v>574</v>
      </c>
      <c r="E431" s="8"/>
      <c r="F431" s="7"/>
      <c r="G431" s="133"/>
      <c r="H431" s="7"/>
      <c r="I431" s="7"/>
      <c r="J431" s="7"/>
      <c r="K431" s="7"/>
      <c r="L431" s="7"/>
      <c r="M431" s="7"/>
      <c r="N431" s="773"/>
      <c r="O431" s="1012"/>
      <c r="P431" s="7"/>
      <c r="Q431" s="8"/>
      <c r="R431" s="685"/>
      <c r="S431" s="133"/>
      <c r="T431" s="133"/>
      <c r="U431" s="74"/>
      <c r="V431" s="8"/>
      <c r="W431" s="8"/>
      <c r="X431" s="8"/>
      <c r="Y431" s="8"/>
      <c r="Z431" s="8"/>
    </row>
    <row r="432" spans="1:26" s="115" customFormat="1" ht="12" hidden="1" customHeight="1">
      <c r="A432" s="7" t="s">
        <v>463</v>
      </c>
      <c r="B432" s="1274">
        <f>SUM(R386:R431)</f>
        <v>0</v>
      </c>
      <c r="C432" s="1292" t="e">
        <f>B431/B432</f>
        <v>#DIV/0!</v>
      </c>
      <c r="D432" s="1266" t="s">
        <v>575</v>
      </c>
      <c r="E432" s="8"/>
      <c r="F432" s="7"/>
      <c r="G432" s="133"/>
      <c r="H432" s="7"/>
      <c r="I432" s="7"/>
      <c r="J432" s="7"/>
      <c r="K432" s="7"/>
      <c r="L432" s="7"/>
      <c r="M432" s="7"/>
      <c r="N432" s="7"/>
      <c r="O432" s="1012"/>
      <c r="P432" s="7"/>
      <c r="Q432" s="8"/>
      <c r="R432" s="685"/>
      <c r="S432" s="133"/>
      <c r="T432" s="133"/>
      <c r="U432" s="1361"/>
      <c r="V432" s="8"/>
      <c r="W432" s="8"/>
      <c r="X432" s="8"/>
      <c r="Y432" s="8"/>
      <c r="Z432" s="8"/>
    </row>
    <row r="433" spans="1:26" s="115" customFormat="1" ht="12" hidden="1" customHeight="1">
      <c r="A433" s="7"/>
      <c r="B433" s="7"/>
      <c r="C433" s="29"/>
      <c r="D433" s="1266" t="s">
        <v>576</v>
      </c>
      <c r="E433" s="8"/>
      <c r="F433" s="7"/>
      <c r="G433" s="133"/>
      <c r="H433" s="7"/>
      <c r="I433" s="7"/>
      <c r="J433" s="7"/>
      <c r="K433" s="7"/>
      <c r="L433" s="7"/>
      <c r="M433" s="7"/>
      <c r="N433" s="7"/>
      <c r="O433" s="1012"/>
      <c r="P433" s="7"/>
      <c r="Q433" s="8"/>
      <c r="R433" s="685"/>
      <c r="S433" s="133"/>
      <c r="T433" s="133"/>
      <c r="U433" s="784"/>
      <c r="V433" s="8"/>
      <c r="W433" s="8"/>
      <c r="X433" s="8"/>
      <c r="Y433" s="8"/>
      <c r="Z433" s="8"/>
    </row>
    <row r="434" spans="1:26" s="355" customFormat="1" ht="12" hidden="1" customHeight="1">
      <c r="A434" s="7" t="s">
        <v>464</v>
      </c>
      <c r="B434" s="1275">
        <f>(1577.94*12)-1040.38-(1040.38-394.46)</f>
        <v>17248.979999999996</v>
      </c>
      <c r="C434" s="29"/>
      <c r="D434" s="1266" t="s">
        <v>677</v>
      </c>
      <c r="E434" s="8"/>
      <c r="F434" s="7"/>
      <c r="G434" s="133"/>
      <c r="H434" s="7"/>
      <c r="I434" s="7"/>
      <c r="J434" s="7"/>
      <c r="K434" s="7"/>
      <c r="L434" s="7"/>
      <c r="M434" s="7"/>
      <c r="N434" s="7"/>
      <c r="O434" s="1012"/>
      <c r="P434" s="7"/>
      <c r="Q434" s="8"/>
      <c r="R434" s="685"/>
      <c r="S434" s="133"/>
      <c r="T434" s="133"/>
      <c r="U434" s="784"/>
      <c r="V434" s="8"/>
      <c r="W434" s="8"/>
      <c r="X434" s="8"/>
      <c r="Y434" s="8"/>
      <c r="Z434" s="8"/>
    </row>
    <row r="435" spans="1:26" s="355" customFormat="1" ht="12" hidden="1" customHeight="1">
      <c r="A435" s="7"/>
      <c r="B435" s="7"/>
      <c r="C435" s="29"/>
      <c r="D435" s="1266" t="s">
        <v>577</v>
      </c>
      <c r="E435" s="8"/>
      <c r="F435" s="7"/>
      <c r="G435" s="133"/>
      <c r="H435" s="7"/>
      <c r="I435" s="7"/>
      <c r="J435" s="7"/>
      <c r="K435" s="7"/>
      <c r="L435" s="7"/>
      <c r="M435" s="7"/>
      <c r="N435" s="7"/>
      <c r="O435" s="1012"/>
      <c r="P435" s="7"/>
      <c r="Q435" s="8"/>
      <c r="R435" s="685"/>
      <c r="S435" s="133"/>
      <c r="T435" s="133"/>
      <c r="U435" s="784"/>
      <c r="V435" s="8"/>
      <c r="W435" s="8"/>
      <c r="X435" s="8"/>
      <c r="Y435" s="8"/>
      <c r="Z435" s="8"/>
    </row>
    <row r="436" spans="1:26" s="355" customFormat="1" ht="12" hidden="1" customHeight="1">
      <c r="A436" s="7" t="s">
        <v>465</v>
      </c>
      <c r="B436" s="773">
        <f>B431-B434-E437</f>
        <v>-12288.979999999996</v>
      </c>
      <c r="C436" s="29"/>
      <c r="D436" s="1266" t="s">
        <v>578</v>
      </c>
      <c r="E436" s="8"/>
      <c r="F436" s="7"/>
      <c r="G436" s="133"/>
      <c r="H436" s="7"/>
      <c r="I436" s="7"/>
      <c r="J436" s="7"/>
      <c r="K436" s="7"/>
      <c r="L436" s="773"/>
      <c r="M436" s="7"/>
      <c r="N436" s="7"/>
      <c r="O436" s="1012"/>
      <c r="P436" s="7"/>
      <c r="Q436" s="8"/>
      <c r="R436" s="685"/>
      <c r="S436" s="133"/>
      <c r="T436" s="133"/>
      <c r="U436" s="784"/>
      <c r="V436" s="8"/>
      <c r="W436" s="8"/>
      <c r="X436" s="8"/>
      <c r="Y436" s="8"/>
      <c r="Z436" s="8"/>
    </row>
    <row r="437" spans="1:26" s="115" customFormat="1" ht="12" hidden="1" customHeight="1">
      <c r="A437" s="7" t="s">
        <v>466</v>
      </c>
      <c r="B437" s="773">
        <f>B431/12</f>
        <v>413.33333333333331</v>
      </c>
      <c r="C437" s="29"/>
      <c r="D437" s="74" t="s">
        <v>585</v>
      </c>
      <c r="E437" s="1275">
        <f>SUM(E432:E436)</f>
        <v>0</v>
      </c>
      <c r="F437" s="7"/>
      <c r="G437" s="133"/>
      <c r="H437" s="7"/>
      <c r="I437" s="7"/>
      <c r="J437" s="7"/>
      <c r="K437" s="7"/>
      <c r="L437" s="7"/>
      <c r="M437" s="7"/>
      <c r="N437" s="7"/>
      <c r="O437" s="1012"/>
      <c r="P437" s="7"/>
      <c r="Q437" s="8"/>
      <c r="R437" s="685"/>
      <c r="S437" s="133"/>
      <c r="T437" s="133"/>
      <c r="U437" s="784"/>
      <c r="V437" s="8"/>
      <c r="W437" s="8"/>
      <c r="X437" s="8"/>
      <c r="Y437" s="8"/>
      <c r="Z437" s="8"/>
    </row>
    <row r="438" spans="1:26" s="355" customFormat="1" ht="12" hidden="1" customHeight="1">
      <c r="A438" s="7"/>
      <c r="B438" s="8"/>
      <c r="C438" s="29"/>
      <c r="D438" s="74"/>
      <c r="E438" s="7"/>
      <c r="F438" s="7"/>
      <c r="G438" s="133"/>
      <c r="H438" s="7"/>
      <c r="I438" s="7"/>
      <c r="J438" s="7"/>
      <c r="K438" s="7"/>
      <c r="L438" s="7"/>
      <c r="M438" s="7"/>
      <c r="N438" s="7"/>
      <c r="O438" s="1012"/>
      <c r="P438" s="7"/>
      <c r="Q438" s="8"/>
      <c r="R438" s="685"/>
      <c r="S438" s="133"/>
      <c r="T438" s="133"/>
      <c r="U438" s="784"/>
      <c r="V438" s="8"/>
      <c r="W438" s="8"/>
      <c r="X438" s="8"/>
      <c r="Y438" s="8"/>
      <c r="Z438" s="8"/>
    </row>
    <row r="439" spans="1:26" s="115" customFormat="1" ht="12" hidden="1" customHeight="1">
      <c r="A439" s="7"/>
      <c r="B439" s="8"/>
      <c r="C439" s="29"/>
      <c r="D439" s="74"/>
      <c r="E439" s="7"/>
      <c r="F439" s="7"/>
      <c r="G439" s="133"/>
      <c r="H439" s="7"/>
      <c r="I439" s="7"/>
      <c r="J439" s="7"/>
      <c r="K439" s="7"/>
      <c r="L439" s="7"/>
      <c r="M439" s="7"/>
      <c r="N439" s="7"/>
      <c r="O439" s="1012"/>
      <c r="P439" s="7"/>
      <c r="Q439" s="8"/>
      <c r="R439" s="685"/>
      <c r="S439" s="133"/>
      <c r="T439" s="133"/>
      <c r="U439" s="7"/>
      <c r="V439" s="8"/>
      <c r="W439" s="8"/>
      <c r="X439" s="8"/>
      <c r="Y439" s="8"/>
      <c r="Z439" s="8"/>
    </row>
    <row r="440" spans="1:26" s="355" customFormat="1" ht="12" hidden="1" customHeight="1">
      <c r="A440" s="7"/>
      <c r="B440" s="8"/>
      <c r="C440" s="29"/>
      <c r="D440" s="74"/>
      <c r="E440" s="7"/>
      <c r="F440" s="7"/>
      <c r="G440" s="133"/>
      <c r="H440" s="7"/>
      <c r="I440" s="7"/>
      <c r="J440" s="7"/>
      <c r="K440" s="7"/>
      <c r="L440" s="7"/>
      <c r="M440" s="7"/>
      <c r="N440" s="7"/>
      <c r="O440" s="1012"/>
      <c r="P440" s="7"/>
      <c r="Q440" s="8"/>
      <c r="R440" s="685"/>
      <c r="S440" s="133"/>
      <c r="T440" s="133"/>
      <c r="U440" s="784"/>
      <c r="V440" s="8"/>
      <c r="W440" s="8"/>
      <c r="X440" s="8"/>
      <c r="Y440" s="8"/>
      <c r="Z440" s="8"/>
    </row>
    <row r="441" spans="1:26" s="355" customFormat="1" ht="12" hidden="1" customHeight="1">
      <c r="A441" s="7"/>
      <c r="B441" s="8"/>
      <c r="C441" s="29"/>
      <c r="D441" s="74"/>
      <c r="E441" s="7"/>
      <c r="F441" s="7"/>
      <c r="G441" s="133"/>
      <c r="H441" s="7"/>
      <c r="I441" s="7"/>
      <c r="J441" s="7"/>
      <c r="K441" s="7"/>
      <c r="L441" s="7"/>
      <c r="M441" s="7"/>
      <c r="N441" s="7"/>
      <c r="O441" s="1012"/>
      <c r="P441" s="7"/>
      <c r="Q441" s="8"/>
      <c r="R441" s="685"/>
      <c r="S441" s="133"/>
      <c r="T441" s="133"/>
      <c r="U441" s="784"/>
      <c r="V441" s="8"/>
      <c r="W441" s="8"/>
      <c r="X441" s="8"/>
      <c r="Y441" s="8"/>
      <c r="Z441" s="8"/>
    </row>
    <row r="442" spans="1:26" s="757" customFormat="1" ht="12" hidden="1" customHeight="1">
      <c r="A442" s="7"/>
      <c r="B442" s="8"/>
      <c r="C442" s="29"/>
      <c r="D442" s="74"/>
      <c r="E442" s="7"/>
      <c r="F442" s="7"/>
      <c r="G442" s="133"/>
      <c r="H442" s="7"/>
      <c r="I442" s="7"/>
      <c r="J442" s="7"/>
      <c r="K442" s="7"/>
      <c r="L442" s="7"/>
      <c r="M442" s="7"/>
      <c r="N442" s="7"/>
      <c r="O442" s="1012"/>
      <c r="P442" s="7"/>
      <c r="Q442" s="8"/>
      <c r="R442" s="685"/>
      <c r="S442" s="133"/>
      <c r="T442" s="133"/>
      <c r="U442" s="784"/>
      <c r="V442" s="8"/>
      <c r="W442" s="8"/>
      <c r="X442" s="8"/>
      <c r="Y442" s="8"/>
      <c r="Z442" s="8"/>
    </row>
    <row r="443" spans="1:26" s="383" customFormat="1" ht="12" hidden="1" customHeight="1">
      <c r="A443" s="7"/>
      <c r="B443" s="8"/>
      <c r="C443" s="29"/>
      <c r="D443" s="74"/>
      <c r="E443" s="7"/>
      <c r="F443" s="7"/>
      <c r="G443" s="133"/>
      <c r="H443" s="7"/>
      <c r="I443" s="7"/>
      <c r="J443" s="7"/>
      <c r="K443" s="7"/>
      <c r="L443" s="7"/>
      <c r="M443" s="7"/>
      <c r="N443" s="7"/>
      <c r="O443" s="1012"/>
      <c r="P443" s="7"/>
      <c r="Q443" s="8"/>
      <c r="R443" s="685"/>
      <c r="S443" s="133"/>
      <c r="T443" s="133"/>
      <c r="U443" s="7"/>
      <c r="V443" s="8"/>
      <c r="W443" s="8"/>
      <c r="X443" s="8"/>
      <c r="Y443" s="8"/>
      <c r="Z443" s="8"/>
    </row>
    <row r="444" spans="1:26" s="408" customFormat="1" ht="12" hidden="1" customHeight="1">
      <c r="A444" s="9" t="s">
        <v>1156</v>
      </c>
      <c r="B444" s="773"/>
      <c r="C444" s="29"/>
      <c r="D444" s="29"/>
      <c r="E444" s="7"/>
      <c r="F444" s="7"/>
      <c r="G444" s="133"/>
      <c r="H444" s="7"/>
      <c r="I444" s="7"/>
      <c r="J444" s="7"/>
      <c r="K444" s="7"/>
      <c r="L444" s="7"/>
      <c r="M444" s="7"/>
      <c r="N444" s="7"/>
      <c r="O444" s="1012"/>
      <c r="P444" s="7"/>
      <c r="Q444" s="8"/>
      <c r="R444" s="685"/>
      <c r="S444" s="133"/>
      <c r="T444" s="133"/>
      <c r="U444" s="74"/>
      <c r="V444" s="8"/>
      <c r="W444" s="8"/>
      <c r="X444" s="8"/>
      <c r="Y444" s="8"/>
      <c r="Z444" s="8"/>
    </row>
    <row r="445" spans="1:26" s="355" customFormat="1" ht="12" hidden="1" customHeight="1">
      <c r="A445" s="8"/>
      <c r="B445" s="8"/>
      <c r="C445" s="31"/>
      <c r="D445" s="31"/>
      <c r="E445" s="8"/>
      <c r="F445" s="8"/>
      <c r="G445" s="132"/>
      <c r="H445" s="8"/>
      <c r="I445" s="8"/>
      <c r="J445" s="8"/>
      <c r="K445" s="8"/>
      <c r="L445" s="8"/>
      <c r="M445" s="8"/>
      <c r="N445" s="49"/>
      <c r="O445" s="1014"/>
      <c r="P445" s="8"/>
      <c r="Q445" s="8"/>
      <c r="R445" s="685"/>
      <c r="S445" s="132"/>
      <c r="T445" s="132"/>
      <c r="U445" s="85"/>
      <c r="V445" s="815"/>
      <c r="W445" s="8"/>
      <c r="X445" s="8"/>
      <c r="Y445" s="8"/>
      <c r="Z445" s="8"/>
    </row>
    <row r="446" spans="1:26" s="355" customFormat="1" ht="12" hidden="1" customHeight="1">
      <c r="A446" s="8"/>
      <c r="B446" s="8"/>
      <c r="C446" s="31"/>
      <c r="D446" s="31"/>
      <c r="E446" s="8"/>
      <c r="F446" s="8"/>
      <c r="G446" s="132"/>
      <c r="H446" s="8"/>
      <c r="I446" s="8"/>
      <c r="J446" s="8"/>
      <c r="K446" s="817"/>
      <c r="L446" s="8"/>
      <c r="M446" s="8"/>
      <c r="N446" s="49"/>
      <c r="O446" s="1014"/>
      <c r="P446" s="8"/>
      <c r="Q446" s="8"/>
      <c r="R446" s="685"/>
      <c r="S446" s="132"/>
      <c r="T446" s="132"/>
      <c r="U446" s="85"/>
      <c r="V446" s="86"/>
      <c r="W446" s="8"/>
      <c r="X446" s="814"/>
      <c r="Y446" s="8"/>
      <c r="Z446" s="8"/>
    </row>
    <row r="447" spans="1:26" ht="12" hidden="1" customHeight="1" thickBot="1">
      <c r="N447" s="49"/>
      <c r="O447" s="1014"/>
      <c r="U447" s="603"/>
      <c r="V447" s="11"/>
    </row>
    <row r="448" spans="1:26" ht="12" hidden="1" customHeight="1" thickBot="1">
      <c r="A448" s="1244"/>
      <c r="B448" s="782"/>
      <c r="D448" s="1309"/>
      <c r="E448" s="782"/>
      <c r="N448" s="49"/>
      <c r="O448" s="1014"/>
      <c r="U448" s="603"/>
      <c r="V448" s="11"/>
    </row>
    <row r="449" spans="1:26" ht="12" hidden="1" customHeight="1" thickBot="1">
      <c r="A449" s="519"/>
      <c r="B449" s="541"/>
      <c r="C449" s="1294"/>
      <c r="D449" s="654"/>
      <c r="E449" s="13"/>
      <c r="N449" s="49"/>
      <c r="O449" s="1014"/>
      <c r="U449" s="603"/>
      <c r="V449" s="11"/>
    </row>
    <row r="450" spans="1:26" ht="12" hidden="1" customHeight="1" thickBot="1">
      <c r="D450" s="654"/>
      <c r="E450" s="13"/>
      <c r="N450" s="49"/>
      <c r="O450" s="1014"/>
      <c r="U450" s="603"/>
      <c r="V450" s="86"/>
    </row>
    <row r="451" spans="1:26" ht="12" hidden="1" customHeight="1" thickBot="1">
      <c r="A451" s="1244"/>
      <c r="B451" s="782"/>
      <c r="D451" s="654"/>
      <c r="E451" s="13"/>
      <c r="N451" s="49"/>
      <c r="O451" s="1014"/>
      <c r="U451" s="603"/>
      <c r="V451" s="11"/>
    </row>
    <row r="452" spans="1:26" ht="12" hidden="1" customHeight="1" thickBot="1">
      <c r="A452" s="1253"/>
      <c r="B452" s="1281"/>
      <c r="D452" s="654"/>
      <c r="E452" s="13"/>
      <c r="N452" s="49"/>
      <c r="O452" s="1014"/>
      <c r="U452" s="1382"/>
    </row>
    <row r="453" spans="1:26" ht="12" hidden="1" customHeight="1" thickBot="1">
      <c r="A453" s="10"/>
      <c r="B453" s="13"/>
      <c r="D453" s="567"/>
      <c r="E453" s="541"/>
      <c r="H453" s="808"/>
      <c r="N453" s="49"/>
      <c r="O453" s="1014"/>
      <c r="U453" s="603"/>
    </row>
    <row r="454" spans="1:26" ht="12" hidden="1" customHeight="1" thickBot="1">
      <c r="A454" s="1241"/>
      <c r="B454" s="541"/>
      <c r="D454" s="567"/>
      <c r="E454" s="541"/>
      <c r="N454" s="49"/>
      <c r="O454" s="1014"/>
      <c r="U454" s="1355"/>
      <c r="V454" s="11"/>
    </row>
    <row r="455" spans="1:26" ht="12" hidden="1" customHeight="1">
      <c r="A455" s="809"/>
      <c r="E455" s="811"/>
      <c r="N455" s="49"/>
      <c r="O455" s="1014"/>
      <c r="U455" s="1355"/>
      <c r="V455" s="86"/>
    </row>
    <row r="456" spans="1:26" ht="12" hidden="1" customHeight="1">
      <c r="A456" s="1245"/>
      <c r="E456" s="811"/>
      <c r="N456" s="49"/>
      <c r="O456" s="1014"/>
      <c r="U456" s="85"/>
      <c r="V456" s="86"/>
    </row>
    <row r="457" spans="1:26" ht="12" hidden="1" customHeight="1">
      <c r="A457" s="1242"/>
      <c r="E457" s="811"/>
      <c r="N457" s="49"/>
      <c r="O457" s="1014"/>
      <c r="U457" s="810"/>
      <c r="V457" s="86"/>
    </row>
    <row r="458" spans="1:26" s="856" customFormat="1" ht="12" hidden="1" customHeight="1">
      <c r="A458" s="49"/>
      <c r="B458" s="8"/>
      <c r="C458" s="31"/>
      <c r="D458" s="31"/>
      <c r="E458" s="8"/>
      <c r="F458" s="8"/>
      <c r="G458" s="132"/>
      <c r="H458" s="8"/>
      <c r="I458" s="8"/>
      <c r="J458" s="8"/>
      <c r="K458" s="8"/>
      <c r="L458" s="8"/>
      <c r="M458" s="8"/>
      <c r="N458" s="49"/>
      <c r="O458" s="1014"/>
      <c r="P458" s="8"/>
      <c r="Q458" s="8"/>
      <c r="R458" s="685"/>
      <c r="S458" s="132"/>
      <c r="T458" s="132"/>
      <c r="U458" s="1360"/>
      <c r="V458" s="86"/>
      <c r="W458" s="8"/>
      <c r="X458" s="8"/>
      <c r="Y458" s="8"/>
      <c r="Z458" s="8"/>
    </row>
    <row r="459" spans="1:26" ht="12" hidden="1" customHeight="1">
      <c r="N459" s="49"/>
      <c r="O459" s="1014"/>
      <c r="U459" s="812"/>
      <c r="V459" s="86"/>
    </row>
    <row r="460" spans="1:26" s="115" customFormat="1" ht="12" hidden="1" customHeight="1">
      <c r="A460" s="8"/>
      <c r="B460" s="8"/>
      <c r="C460" s="31"/>
      <c r="D460" s="31"/>
      <c r="E460" s="8"/>
      <c r="F460" s="8"/>
      <c r="G460" s="132"/>
      <c r="H460" s="8"/>
      <c r="I460" s="8"/>
      <c r="J460" s="8"/>
      <c r="K460" s="8"/>
      <c r="L460" s="8"/>
      <c r="M460" s="8"/>
      <c r="N460" s="73"/>
      <c r="O460" s="1014"/>
      <c r="P460" s="8"/>
      <c r="Q460" s="8"/>
      <c r="R460" s="685"/>
      <c r="S460" s="132"/>
      <c r="T460" s="132"/>
      <c r="U460" s="813"/>
      <c r="V460" s="8"/>
      <c r="W460" s="8"/>
      <c r="X460" s="8"/>
      <c r="Y460" s="8"/>
      <c r="Z460" s="8"/>
    </row>
    <row r="461" spans="1:26" ht="12" hidden="1" customHeight="1">
      <c r="E461" s="811"/>
      <c r="L461" s="814">
        <f>O449-U449</f>
        <v>0</v>
      </c>
      <c r="N461" s="73"/>
      <c r="O461" s="1014"/>
      <c r="S461" s="132">
        <f>O451-U451</f>
        <v>0</v>
      </c>
      <c r="U461" s="810"/>
    </row>
    <row r="462" spans="1:26" ht="12" hidden="1" customHeight="1">
      <c r="N462" s="49"/>
      <c r="O462" s="1014"/>
      <c r="U462" s="810"/>
    </row>
    <row r="463" spans="1:26" s="355" customFormat="1" ht="12" hidden="1" customHeight="1">
      <c r="A463" s="8"/>
      <c r="B463" s="8"/>
      <c r="C463" s="31"/>
      <c r="D463" s="31"/>
      <c r="E463" s="811"/>
      <c r="F463" s="8"/>
      <c r="G463" s="132"/>
      <c r="H463" s="8"/>
      <c r="I463" s="8"/>
      <c r="J463" s="8"/>
      <c r="K463" s="8"/>
      <c r="L463" s="8"/>
      <c r="M463" s="8"/>
      <c r="N463" s="49"/>
      <c r="O463" s="1014"/>
      <c r="P463" s="8"/>
      <c r="Q463" s="8"/>
      <c r="R463" s="685"/>
      <c r="S463" s="132"/>
      <c r="T463" s="132"/>
      <c r="U463" s="1365"/>
      <c r="V463" s="8"/>
      <c r="W463" s="8"/>
      <c r="X463" s="8"/>
      <c r="Y463" s="8"/>
      <c r="Z463" s="8"/>
    </row>
    <row r="464" spans="1:26" s="115" customFormat="1" ht="12" hidden="1" customHeight="1">
      <c r="A464" s="8"/>
      <c r="B464" s="8"/>
      <c r="C464" s="31"/>
      <c r="D464" s="31"/>
      <c r="E464" s="8"/>
      <c r="F464" s="8"/>
      <c r="G464" s="132"/>
      <c r="H464" s="8"/>
      <c r="I464" s="8"/>
      <c r="J464" s="8"/>
      <c r="K464" s="8"/>
      <c r="L464" s="8"/>
      <c r="M464" s="8"/>
      <c r="N464" s="49"/>
      <c r="O464" s="1014"/>
      <c r="P464" s="8"/>
      <c r="Q464" s="8"/>
      <c r="R464" s="685"/>
      <c r="S464" s="132"/>
      <c r="T464" s="132"/>
      <c r="U464" s="1355"/>
      <c r="V464" s="8"/>
      <c r="W464" s="8"/>
      <c r="X464" s="8"/>
      <c r="Y464" s="8"/>
      <c r="Z464" s="8"/>
    </row>
    <row r="465" spans="1:26" s="355" customFormat="1" ht="12" hidden="1" customHeight="1">
      <c r="A465" s="8"/>
      <c r="B465" s="8"/>
      <c r="C465" s="31"/>
      <c r="D465" s="31"/>
      <c r="E465" s="8"/>
      <c r="F465" s="8"/>
      <c r="G465" s="132"/>
      <c r="H465" s="8"/>
      <c r="I465" s="8"/>
      <c r="J465" s="8"/>
      <c r="K465" s="8"/>
      <c r="L465" s="8"/>
      <c r="M465" s="8"/>
      <c r="N465" s="49"/>
      <c r="O465" s="1014"/>
      <c r="P465" s="8"/>
      <c r="Q465" s="8"/>
      <c r="R465" s="685"/>
      <c r="S465" s="132"/>
      <c r="T465" s="132"/>
      <c r="U465" s="810"/>
      <c r="V465" s="8"/>
      <c r="W465" s="8"/>
      <c r="X465" s="8"/>
      <c r="Y465" s="8"/>
      <c r="Z465" s="8"/>
    </row>
    <row r="466" spans="1:26" s="355" customFormat="1" ht="12" hidden="1" customHeight="1">
      <c r="A466" s="8"/>
      <c r="B466" s="8"/>
      <c r="C466" s="31"/>
      <c r="D466" s="31"/>
      <c r="E466" s="8"/>
      <c r="F466" s="8"/>
      <c r="G466" s="132"/>
      <c r="H466" s="8"/>
      <c r="I466" s="8"/>
      <c r="J466" s="8"/>
      <c r="K466" s="8"/>
      <c r="L466" s="8"/>
      <c r="M466" s="8"/>
      <c r="N466" s="49"/>
      <c r="O466" s="1014"/>
      <c r="P466" s="8"/>
      <c r="Q466" s="8"/>
      <c r="R466" s="685"/>
      <c r="S466" s="132"/>
      <c r="T466" s="132"/>
      <c r="U466" s="1355"/>
      <c r="V466" s="8"/>
      <c r="W466" s="8"/>
      <c r="X466" s="8"/>
      <c r="Y466" s="8"/>
      <c r="Z466" s="8"/>
    </row>
    <row r="467" spans="1:26" s="115" customFormat="1" ht="12" hidden="1" customHeight="1">
      <c r="A467" s="7"/>
      <c r="B467" s="7"/>
      <c r="C467" s="29"/>
      <c r="D467" s="29"/>
      <c r="E467" s="8"/>
      <c r="F467" s="7"/>
      <c r="G467" s="133"/>
      <c r="H467" s="7"/>
      <c r="I467" s="7"/>
      <c r="J467" s="7"/>
      <c r="K467" s="7"/>
      <c r="L467" s="7"/>
      <c r="M467" s="7"/>
      <c r="N467" s="7"/>
      <c r="O467" s="1012"/>
      <c r="P467" s="7"/>
      <c r="Q467" s="8"/>
      <c r="R467" s="685"/>
      <c r="S467" s="133"/>
      <c r="T467" s="133"/>
      <c r="U467" s="74"/>
      <c r="V467" s="8"/>
      <c r="W467" s="8"/>
      <c r="X467" s="8"/>
      <c r="Y467" s="8"/>
      <c r="Z467" s="8"/>
    </row>
    <row r="468" spans="1:26" s="451" customFormat="1" ht="12" hidden="1" customHeight="1">
      <c r="A468" s="7"/>
      <c r="B468" s="773"/>
      <c r="C468" s="29"/>
      <c r="D468" s="29"/>
      <c r="E468" s="8"/>
      <c r="F468" s="7"/>
      <c r="G468" s="133"/>
      <c r="H468" s="7"/>
      <c r="I468" s="7"/>
      <c r="J468" s="7"/>
      <c r="K468" s="7"/>
      <c r="L468" s="7"/>
      <c r="M468" s="7"/>
      <c r="N468" s="7"/>
      <c r="O468" s="1012"/>
      <c r="P468" s="7"/>
      <c r="Q468" s="8"/>
      <c r="R468" s="685"/>
      <c r="S468" s="133"/>
      <c r="T468" s="133"/>
      <c r="U468" s="74"/>
      <c r="V468" s="796"/>
      <c r="W468" s="8"/>
      <c r="X468" s="8"/>
      <c r="Y468" s="8"/>
      <c r="Z468" s="8"/>
    </row>
    <row r="469" spans="1:26" s="355" customFormat="1" ht="12" hidden="1" customHeight="1">
      <c r="A469" s="7" t="s">
        <v>1155</v>
      </c>
      <c r="B469" s="1268">
        <f>SUM(O426:O469)</f>
        <v>0</v>
      </c>
      <c r="C469" s="804" t="e">
        <f>B469/B413</f>
        <v>#DIV/0!</v>
      </c>
      <c r="D469" s="9" t="s">
        <v>574</v>
      </c>
      <c r="E469" s="8"/>
      <c r="F469" s="7"/>
      <c r="G469" s="133"/>
      <c r="H469" s="7"/>
      <c r="I469" s="7"/>
      <c r="J469" s="7"/>
      <c r="K469" s="7"/>
      <c r="L469" s="7"/>
      <c r="M469" s="7"/>
      <c r="N469" s="7"/>
      <c r="O469" s="1012"/>
      <c r="P469" s="7"/>
      <c r="Q469" s="8"/>
      <c r="R469" s="685"/>
      <c r="S469" s="133"/>
      <c r="T469" s="133"/>
      <c r="U469" s="1361"/>
      <c r="V469" s="8"/>
      <c r="W469" s="8"/>
      <c r="X469" s="8"/>
      <c r="Y469" s="8"/>
      <c r="Z469" s="8"/>
    </row>
    <row r="470" spans="1:26" s="115" customFormat="1" ht="12" hidden="1" customHeight="1">
      <c r="A470" s="7" t="s">
        <v>463</v>
      </c>
      <c r="B470" s="1274">
        <f>SUM(R410:R469)</f>
        <v>0</v>
      </c>
      <c r="C470" s="1292" t="e">
        <f>B469/B470</f>
        <v>#DIV/0!</v>
      </c>
      <c r="D470" s="1266" t="s">
        <v>575</v>
      </c>
      <c r="E470" s="8"/>
      <c r="F470" s="7"/>
      <c r="G470" s="133"/>
      <c r="H470" s="7"/>
      <c r="I470" s="7"/>
      <c r="J470" s="7"/>
      <c r="K470" s="7"/>
      <c r="L470" s="7"/>
      <c r="M470" s="7"/>
      <c r="N470" s="7"/>
      <c r="O470" s="1012"/>
      <c r="P470" s="7"/>
      <c r="Q470" s="8"/>
      <c r="R470" s="685"/>
      <c r="S470" s="133"/>
      <c r="T470" s="133"/>
      <c r="U470" s="74"/>
      <c r="V470" s="8"/>
      <c r="W470" s="8"/>
      <c r="X470" s="8"/>
      <c r="Y470" s="8"/>
      <c r="Z470" s="8"/>
    </row>
    <row r="471" spans="1:26" s="355" customFormat="1" ht="12" hidden="1" customHeight="1">
      <c r="A471" s="7"/>
      <c r="B471" s="7"/>
      <c r="C471" s="29"/>
      <c r="D471" s="1266" t="s">
        <v>576</v>
      </c>
      <c r="E471" s="8"/>
      <c r="F471" s="7"/>
      <c r="G471" s="133"/>
      <c r="H471" s="7"/>
      <c r="I471" s="7"/>
      <c r="J471" s="7"/>
      <c r="K471" s="7"/>
      <c r="L471" s="7"/>
      <c r="M471" s="7"/>
      <c r="N471" s="7"/>
      <c r="O471" s="1012"/>
      <c r="P471" s="7"/>
      <c r="Q471" s="8"/>
      <c r="R471" s="685"/>
      <c r="S471" s="133"/>
      <c r="T471" s="133"/>
      <c r="U471" s="7"/>
      <c r="V471" s="8"/>
      <c r="W471" s="8"/>
      <c r="X471" s="8"/>
      <c r="Y471" s="8"/>
      <c r="Z471" s="8"/>
    </row>
    <row r="472" spans="1:26" s="355" customFormat="1" ht="12" hidden="1" customHeight="1">
      <c r="A472" s="7" t="s">
        <v>464</v>
      </c>
      <c r="B472" s="1275">
        <f>537.56*12</f>
        <v>6450.7199999999993</v>
      </c>
      <c r="C472" s="29"/>
      <c r="D472" s="1266" t="s">
        <v>677</v>
      </c>
      <c r="E472" s="8"/>
      <c r="F472" s="7"/>
      <c r="G472" s="133"/>
      <c r="H472" s="7"/>
      <c r="I472" s="7"/>
      <c r="J472" s="7"/>
      <c r="K472" s="7"/>
      <c r="L472" s="7"/>
      <c r="M472" s="7"/>
      <c r="N472" s="7"/>
      <c r="O472" s="1012"/>
      <c r="P472" s="7"/>
      <c r="Q472" s="8"/>
      <c r="R472" s="685"/>
      <c r="S472" s="133"/>
      <c r="T472" s="133"/>
      <c r="U472" s="7"/>
      <c r="V472" s="8"/>
      <c r="W472" s="8"/>
      <c r="X472" s="8"/>
      <c r="Y472" s="8"/>
      <c r="Z472" s="8"/>
    </row>
    <row r="473" spans="1:26" s="115" customFormat="1" ht="12" hidden="1" customHeight="1">
      <c r="A473" s="7"/>
      <c r="B473" s="7"/>
      <c r="C473" s="29"/>
      <c r="D473" s="1266" t="s">
        <v>577</v>
      </c>
      <c r="E473" s="8"/>
      <c r="F473" s="7"/>
      <c r="G473" s="133"/>
      <c r="H473" s="7"/>
      <c r="I473" s="7"/>
      <c r="J473" s="7"/>
      <c r="K473" s="7"/>
      <c r="L473" s="7"/>
      <c r="M473" s="7"/>
      <c r="N473" s="7"/>
      <c r="O473" s="1012"/>
      <c r="P473" s="7"/>
      <c r="Q473" s="8"/>
      <c r="R473" s="685"/>
      <c r="S473" s="133"/>
      <c r="T473" s="133"/>
      <c r="U473" s="7"/>
      <c r="V473" s="8"/>
      <c r="W473" s="8"/>
      <c r="X473" s="8"/>
      <c r="Y473" s="8"/>
      <c r="Z473" s="8"/>
    </row>
    <row r="474" spans="1:26" s="115" customFormat="1" ht="12" hidden="1" customHeight="1">
      <c r="A474" s="7" t="s">
        <v>1236</v>
      </c>
      <c r="B474" s="773">
        <f>B469-B472-E475</f>
        <v>-6450.7199999999993</v>
      </c>
      <c r="C474" s="29"/>
      <c r="D474" s="1266" t="s">
        <v>578</v>
      </c>
      <c r="E474" s="8"/>
      <c r="F474" s="7"/>
      <c r="G474" s="133"/>
      <c r="H474" s="7"/>
      <c r="I474" s="7"/>
      <c r="J474" s="7"/>
      <c r="K474" s="7"/>
      <c r="L474" s="773"/>
      <c r="M474" s="7"/>
      <c r="N474" s="7"/>
      <c r="O474" s="1012"/>
      <c r="P474" s="7"/>
      <c r="Q474" s="8"/>
      <c r="R474" s="685"/>
      <c r="S474" s="133"/>
      <c r="T474" s="133"/>
      <c r="U474" s="784"/>
      <c r="V474" s="8"/>
      <c r="W474" s="8"/>
      <c r="X474" s="8"/>
      <c r="Y474" s="8"/>
      <c r="Z474" s="8"/>
    </row>
    <row r="475" spans="1:26" s="115" customFormat="1" ht="12" hidden="1" customHeight="1">
      <c r="A475" s="7" t="s">
        <v>466</v>
      </c>
      <c r="B475" s="773">
        <f>B469/12</f>
        <v>0</v>
      </c>
      <c r="C475" s="29"/>
      <c r="D475" s="74" t="s">
        <v>585</v>
      </c>
      <c r="E475" s="1275">
        <f>SUM(E470:E474)</f>
        <v>0</v>
      </c>
      <c r="F475" s="7"/>
      <c r="G475" s="133"/>
      <c r="H475" s="7"/>
      <c r="I475" s="7"/>
      <c r="J475" s="7"/>
      <c r="K475" s="7"/>
      <c r="L475" s="7"/>
      <c r="M475" s="7"/>
      <c r="N475" s="7"/>
      <c r="O475" s="1012"/>
      <c r="P475" s="7"/>
      <c r="Q475" s="8"/>
      <c r="R475" s="685"/>
      <c r="S475" s="133"/>
      <c r="T475" s="133"/>
      <c r="U475" s="784"/>
      <c r="V475" s="8"/>
      <c r="W475" s="8"/>
      <c r="X475" s="8"/>
      <c r="Y475" s="8"/>
      <c r="Z475" s="8"/>
    </row>
    <row r="476" spans="1:26" s="115" customFormat="1" ht="12" hidden="1" customHeight="1">
      <c r="A476" s="8"/>
      <c r="B476" s="8"/>
      <c r="C476" s="31"/>
      <c r="D476" s="31"/>
      <c r="E476" s="8"/>
      <c r="F476" s="8"/>
      <c r="G476" s="132"/>
      <c r="H476" s="8"/>
      <c r="I476" s="8"/>
      <c r="J476" s="8"/>
      <c r="K476" s="8"/>
      <c r="L476" s="8"/>
      <c r="M476" s="8"/>
      <c r="N476" s="8"/>
      <c r="O476" s="1015"/>
      <c r="P476" s="8"/>
      <c r="Q476" s="8"/>
      <c r="R476" s="685"/>
      <c r="S476" s="132"/>
      <c r="T476" s="132"/>
      <c r="U476" s="13"/>
      <c r="V476" s="8"/>
      <c r="W476" s="8"/>
      <c r="X476" s="8"/>
      <c r="Y476" s="8"/>
      <c r="Z476" s="8"/>
    </row>
    <row r="477" spans="1:26" s="355" customFormat="1" ht="12" hidden="1" customHeight="1">
      <c r="A477" s="8"/>
      <c r="B477" s="8"/>
      <c r="C477" s="31"/>
      <c r="D477" s="31"/>
      <c r="E477" s="8"/>
      <c r="F477" s="8"/>
      <c r="G477" s="132"/>
      <c r="H477" s="8"/>
      <c r="I477" s="8"/>
      <c r="J477" s="8"/>
      <c r="K477" s="8"/>
      <c r="L477" s="8"/>
      <c r="M477" s="8"/>
      <c r="N477" s="8"/>
      <c r="O477" s="1014"/>
      <c r="P477" s="8"/>
      <c r="Q477" s="8"/>
      <c r="R477" s="685"/>
      <c r="S477" s="132"/>
      <c r="T477" s="132"/>
      <c r="U477" s="13"/>
      <c r="V477" s="8"/>
      <c r="W477" s="8"/>
      <c r="X477" s="8"/>
      <c r="Y477" s="8"/>
      <c r="Z477" s="8"/>
    </row>
    <row r="478" spans="1:26" s="115" customFormat="1" ht="12" hidden="1" customHeight="1">
      <c r="A478" s="9" t="s">
        <v>1302</v>
      </c>
      <c r="B478" s="773"/>
      <c r="C478" s="29"/>
      <c r="D478" s="29"/>
      <c r="E478" s="7"/>
      <c r="F478" s="7"/>
      <c r="G478" s="133"/>
      <c r="H478" s="7"/>
      <c r="I478" s="7"/>
      <c r="J478" s="7"/>
      <c r="K478" s="7"/>
      <c r="L478" s="7"/>
      <c r="M478" s="7"/>
      <c r="N478" s="7"/>
      <c r="O478" s="1012"/>
      <c r="P478" s="7"/>
      <c r="Q478" s="8"/>
      <c r="R478" s="685"/>
      <c r="S478" s="133"/>
      <c r="T478" s="133"/>
      <c r="U478" s="1361"/>
      <c r="V478" s="8"/>
      <c r="W478" s="8"/>
      <c r="X478" s="8"/>
      <c r="Y478" s="8"/>
      <c r="Z478" s="8"/>
    </row>
    <row r="479" spans="1:26" s="355" customFormat="1" ht="12" hidden="1" customHeight="1">
      <c r="A479" s="8"/>
      <c r="B479" s="8"/>
      <c r="C479" s="31"/>
      <c r="D479" s="31"/>
      <c r="E479" s="8"/>
      <c r="F479" s="8"/>
      <c r="G479" s="132"/>
      <c r="H479" s="8"/>
      <c r="I479" s="8"/>
      <c r="J479" s="8"/>
      <c r="K479" s="8"/>
      <c r="L479" s="8"/>
      <c r="M479" s="8"/>
      <c r="N479" s="49"/>
      <c r="O479" s="1014"/>
      <c r="P479" s="8"/>
      <c r="Q479" s="8"/>
      <c r="R479" s="685"/>
      <c r="S479" s="132"/>
      <c r="T479" s="132"/>
      <c r="U479" s="85"/>
      <c r="V479" s="815"/>
      <c r="W479" s="8"/>
      <c r="X479" s="8"/>
      <c r="Y479" s="8"/>
      <c r="Z479" s="8"/>
    </row>
    <row r="480" spans="1:26" s="498" customFormat="1" ht="12" hidden="1" customHeight="1">
      <c r="A480" s="21"/>
      <c r="B480" s="21"/>
      <c r="C480" s="30"/>
      <c r="D480" s="30"/>
      <c r="E480" s="21"/>
      <c r="F480" s="21"/>
      <c r="G480" s="764"/>
      <c r="H480" s="21"/>
      <c r="I480" s="21"/>
      <c r="J480" s="21"/>
      <c r="K480" s="21"/>
      <c r="L480" s="21"/>
      <c r="M480" s="21"/>
      <c r="N480" s="50"/>
      <c r="O480" s="1013"/>
      <c r="P480" s="21"/>
      <c r="Q480" s="21"/>
      <c r="R480" s="876"/>
      <c r="S480" s="764"/>
      <c r="T480" s="764"/>
      <c r="U480" s="75"/>
      <c r="V480" s="78"/>
      <c r="W480" s="21"/>
      <c r="X480" s="21"/>
      <c r="Y480" s="21"/>
      <c r="Z480" s="21"/>
    </row>
    <row r="481" spans="1:26" s="115" customFormat="1" ht="12" hidden="1" customHeight="1">
      <c r="A481" s="21"/>
      <c r="B481" s="21"/>
      <c r="C481" s="30"/>
      <c r="D481" s="30"/>
      <c r="E481" s="21"/>
      <c r="F481" s="21"/>
      <c r="G481" s="764"/>
      <c r="H481" s="21"/>
      <c r="I481" s="21"/>
      <c r="J481" s="21"/>
      <c r="K481" s="21"/>
      <c r="L481" s="21"/>
      <c r="M481" s="21"/>
      <c r="N481" s="50"/>
      <c r="O481" s="1013"/>
      <c r="P481" s="21"/>
      <c r="Q481" s="21"/>
      <c r="R481" s="876"/>
      <c r="S481" s="764"/>
      <c r="T481" s="764"/>
      <c r="U481" s="75"/>
      <c r="V481" s="78"/>
      <c r="W481" s="21"/>
      <c r="X481" s="21"/>
      <c r="Y481" s="21"/>
      <c r="Z481" s="21"/>
    </row>
    <row r="482" spans="1:26" s="115" customFormat="1" ht="12" hidden="1" customHeight="1">
      <c r="A482" s="21"/>
      <c r="B482" s="21"/>
      <c r="C482" s="30"/>
      <c r="D482" s="30"/>
      <c r="E482" s="21"/>
      <c r="F482" s="21"/>
      <c r="G482" s="764"/>
      <c r="H482" s="21"/>
      <c r="I482" s="21"/>
      <c r="J482" s="21"/>
      <c r="K482" s="21"/>
      <c r="L482" s="21"/>
      <c r="M482" s="21"/>
      <c r="N482" s="50"/>
      <c r="O482" s="1013"/>
      <c r="P482" s="21"/>
      <c r="Q482" s="21"/>
      <c r="R482" s="876"/>
      <c r="S482" s="764"/>
      <c r="T482" s="764"/>
      <c r="U482" s="75"/>
      <c r="V482" s="78"/>
      <c r="W482" s="21"/>
      <c r="X482" s="21"/>
      <c r="Y482" s="21"/>
      <c r="Z482" s="21"/>
    </row>
    <row r="483" spans="1:26" s="355" customFormat="1" ht="12" hidden="1" customHeight="1">
      <c r="A483" s="21"/>
      <c r="B483" s="21"/>
      <c r="C483" s="30"/>
      <c r="D483" s="30"/>
      <c r="E483" s="21"/>
      <c r="F483" s="21"/>
      <c r="G483" s="764"/>
      <c r="H483" s="21"/>
      <c r="I483" s="21"/>
      <c r="J483" s="21"/>
      <c r="K483" s="21"/>
      <c r="L483" s="21"/>
      <c r="M483" s="21"/>
      <c r="N483" s="50"/>
      <c r="O483" s="1013"/>
      <c r="P483" s="21"/>
      <c r="Q483" s="21"/>
      <c r="R483" s="876"/>
      <c r="S483" s="764"/>
      <c r="T483" s="764"/>
      <c r="U483" s="75"/>
      <c r="V483" s="78"/>
      <c r="W483" s="21"/>
      <c r="X483" s="21"/>
      <c r="Y483" s="21"/>
      <c r="Z483" s="21"/>
    </row>
    <row r="484" spans="1:26" s="451" customFormat="1" ht="12" hidden="1" customHeight="1">
      <c r="A484" s="21"/>
      <c r="B484" s="21"/>
      <c r="C484" s="30"/>
      <c r="D484" s="30"/>
      <c r="E484" s="21"/>
      <c r="F484" s="21"/>
      <c r="G484" s="764"/>
      <c r="H484" s="21"/>
      <c r="I484" s="21"/>
      <c r="J484" s="21"/>
      <c r="K484" s="21"/>
      <c r="L484" s="21"/>
      <c r="M484" s="21"/>
      <c r="N484" s="50"/>
      <c r="O484" s="1013"/>
      <c r="P484" s="21"/>
      <c r="Q484" s="21"/>
      <c r="R484" s="876"/>
      <c r="S484" s="764"/>
      <c r="T484" s="764"/>
      <c r="U484" s="1367"/>
      <c r="V484" s="78"/>
      <c r="W484" s="21"/>
      <c r="X484" s="21"/>
      <c r="Y484" s="21"/>
      <c r="Z484" s="21"/>
    </row>
    <row r="485" spans="1:26" s="355" customFormat="1" ht="12" hidden="1" customHeight="1">
      <c r="A485" s="21"/>
      <c r="B485" s="21"/>
      <c r="C485" s="30"/>
      <c r="D485" s="30"/>
      <c r="E485" s="21"/>
      <c r="F485" s="21"/>
      <c r="G485" s="764"/>
      <c r="H485" s="21"/>
      <c r="I485" s="21"/>
      <c r="J485" s="21"/>
      <c r="K485" s="21"/>
      <c r="L485" s="21"/>
      <c r="M485" s="21"/>
      <c r="N485" s="50"/>
      <c r="O485" s="1013"/>
      <c r="P485" s="21"/>
      <c r="Q485" s="21"/>
      <c r="R485" s="876"/>
      <c r="S485" s="764"/>
      <c r="T485" s="764"/>
      <c r="U485" s="75"/>
      <c r="V485" s="78"/>
      <c r="W485" s="21"/>
      <c r="X485" s="21"/>
      <c r="Y485" s="21"/>
      <c r="Z485" s="21"/>
    </row>
    <row r="486" spans="1:26" ht="12" hidden="1" customHeight="1">
      <c r="A486" s="21"/>
      <c r="B486" s="21"/>
      <c r="C486" s="30"/>
      <c r="D486" s="30"/>
      <c r="E486" s="21"/>
      <c r="F486" s="21"/>
      <c r="G486" s="764"/>
      <c r="H486" s="21"/>
      <c r="I486" s="21"/>
      <c r="J486" s="21"/>
      <c r="K486" s="21"/>
      <c r="L486" s="21"/>
      <c r="M486" s="21"/>
      <c r="N486" s="50"/>
      <c r="O486" s="1013"/>
      <c r="P486" s="21"/>
      <c r="Q486" s="21"/>
      <c r="R486" s="876"/>
      <c r="S486" s="764"/>
      <c r="T486" s="764"/>
      <c r="U486" s="75"/>
      <c r="V486" s="78"/>
      <c r="W486" s="21"/>
      <c r="X486" s="21"/>
      <c r="Y486" s="21"/>
      <c r="Z486" s="21"/>
    </row>
    <row r="487" spans="1:26" ht="12" hidden="1" customHeight="1">
      <c r="A487" s="21"/>
      <c r="B487" s="21"/>
      <c r="C487" s="30"/>
      <c r="D487" s="30"/>
      <c r="E487" s="21"/>
      <c r="F487" s="21"/>
      <c r="G487" s="764"/>
      <c r="H487" s="21"/>
      <c r="I487" s="21"/>
      <c r="J487" s="21"/>
      <c r="K487" s="21"/>
      <c r="L487" s="21"/>
      <c r="M487" s="21"/>
      <c r="N487" s="51"/>
      <c r="O487" s="1013"/>
      <c r="P487" s="21"/>
      <c r="Q487" s="21"/>
      <c r="R487" s="876"/>
      <c r="S487" s="764"/>
      <c r="T487" s="764"/>
      <c r="U487" s="1367"/>
      <c r="V487" s="78"/>
      <c r="W487" s="21"/>
      <c r="X487" s="21"/>
      <c r="Y487" s="21"/>
      <c r="Z487" s="21"/>
    </row>
    <row r="488" spans="1:26" ht="12" hidden="1" customHeight="1">
      <c r="K488" s="817"/>
      <c r="N488" s="49"/>
      <c r="O488" s="1014"/>
      <c r="U488" s="603"/>
      <c r="V488" s="86"/>
      <c r="X488" s="814"/>
    </row>
    <row r="489" spans="1:26" ht="12" hidden="1" customHeight="1">
      <c r="N489" s="49"/>
      <c r="O489" s="1014"/>
      <c r="U489" s="85"/>
      <c r="V489" s="11"/>
    </row>
    <row r="490" spans="1:26" ht="12" hidden="1" customHeight="1" thickBot="1">
      <c r="N490" s="49"/>
      <c r="O490" s="1014"/>
      <c r="U490" s="603"/>
      <c r="V490" s="11"/>
    </row>
    <row r="491" spans="1:26" ht="12" hidden="1" customHeight="1" thickBot="1">
      <c r="A491" s="1244"/>
      <c r="B491" s="782"/>
      <c r="D491" s="1309"/>
      <c r="E491" s="782"/>
      <c r="N491" s="49"/>
      <c r="O491" s="1014"/>
      <c r="U491" s="603"/>
      <c r="V491" s="11"/>
    </row>
    <row r="492" spans="1:26" ht="12" hidden="1" customHeight="1" thickBot="1">
      <c r="A492" s="519"/>
      <c r="B492" s="541"/>
      <c r="C492" s="1294"/>
      <c r="D492" s="654"/>
      <c r="E492" s="13"/>
      <c r="N492" s="49"/>
      <c r="O492" s="1014"/>
      <c r="U492" s="603"/>
      <c r="V492" s="86"/>
    </row>
    <row r="493" spans="1:26" ht="12" hidden="1" customHeight="1" thickBot="1">
      <c r="D493" s="654"/>
      <c r="E493" s="13"/>
      <c r="N493" s="49"/>
      <c r="O493" s="1014"/>
      <c r="U493" s="603"/>
      <c r="V493" s="11"/>
    </row>
    <row r="494" spans="1:26" ht="12" hidden="1" customHeight="1" thickBot="1">
      <c r="A494" s="1244"/>
      <c r="B494" s="782"/>
      <c r="D494" s="654"/>
      <c r="E494" s="13"/>
      <c r="N494" s="49"/>
      <c r="O494" s="1014"/>
      <c r="U494" s="1382"/>
    </row>
    <row r="495" spans="1:26" ht="12" hidden="1" customHeight="1" thickBot="1">
      <c r="A495" s="1253"/>
      <c r="B495" s="1281"/>
      <c r="D495" s="654"/>
      <c r="E495" s="13"/>
      <c r="H495" s="808"/>
      <c r="N495" s="49"/>
      <c r="O495" s="1014"/>
      <c r="U495" s="603"/>
    </row>
    <row r="496" spans="1:26" ht="12" hidden="1" customHeight="1" thickBot="1">
      <c r="A496" s="1245"/>
      <c r="B496" s="13"/>
      <c r="D496" s="567"/>
      <c r="E496" s="541"/>
      <c r="N496" s="49"/>
      <c r="O496" s="1014"/>
      <c r="U496" s="1355"/>
      <c r="V496" s="11"/>
    </row>
    <row r="497" spans="1:26" ht="12" hidden="1" customHeight="1" thickBot="1">
      <c r="A497" s="1241"/>
      <c r="B497" s="541"/>
      <c r="D497" s="567"/>
      <c r="E497" s="1328"/>
      <c r="N497" s="49"/>
      <c r="O497" s="1014"/>
      <c r="U497" s="1355"/>
      <c r="V497" s="86"/>
    </row>
    <row r="498" spans="1:26" ht="12" hidden="1" customHeight="1">
      <c r="A498" s="1245"/>
      <c r="E498" s="811"/>
      <c r="N498" s="49"/>
      <c r="O498" s="1014"/>
      <c r="U498" s="603"/>
      <c r="V498" s="86"/>
    </row>
    <row r="499" spans="1:26" ht="12" hidden="1" customHeight="1">
      <c r="A499" s="1242"/>
      <c r="E499" s="811"/>
      <c r="N499" s="49"/>
      <c r="O499" s="1014"/>
      <c r="U499" s="1355"/>
      <c r="V499" s="86"/>
    </row>
    <row r="500" spans="1:26" ht="12" hidden="1" customHeight="1">
      <c r="A500" s="1242"/>
      <c r="N500" s="49"/>
      <c r="O500" s="1014"/>
      <c r="U500" s="1360"/>
      <c r="V500" s="86"/>
    </row>
    <row r="501" spans="1:26" ht="12" hidden="1" customHeight="1">
      <c r="A501" s="10"/>
      <c r="N501" s="49"/>
      <c r="O501" s="1014"/>
      <c r="U501" s="1360"/>
      <c r="V501" s="86"/>
    </row>
    <row r="502" spans="1:26" ht="12" hidden="1" customHeight="1">
      <c r="A502" s="10"/>
      <c r="N502" s="73"/>
      <c r="O502" s="1014"/>
      <c r="U502" s="1356"/>
    </row>
    <row r="503" spans="1:26" ht="12" hidden="1" customHeight="1">
      <c r="A503" s="10"/>
      <c r="E503" s="811"/>
      <c r="L503" s="814">
        <f>O491-U491</f>
        <v>0</v>
      </c>
      <c r="N503" s="73"/>
      <c r="O503" s="1014"/>
      <c r="S503" s="132">
        <f>O493-U493</f>
        <v>0</v>
      </c>
      <c r="U503" s="1355"/>
    </row>
    <row r="504" spans="1:26" s="856" customFormat="1" ht="12" hidden="1" customHeight="1">
      <c r="A504" s="8"/>
      <c r="B504" s="8"/>
      <c r="C504" s="31"/>
      <c r="D504" s="31"/>
      <c r="E504" s="8"/>
      <c r="F504" s="8"/>
      <c r="G504" s="132"/>
      <c r="H504" s="8"/>
      <c r="I504" s="8"/>
      <c r="J504" s="8"/>
      <c r="K504" s="8"/>
      <c r="L504" s="8"/>
      <c r="M504" s="8"/>
      <c r="N504" s="49"/>
      <c r="O504" s="1014"/>
      <c r="P504" s="8"/>
      <c r="Q504" s="8"/>
      <c r="R504" s="685"/>
      <c r="S504" s="132"/>
      <c r="T504" s="132"/>
      <c r="U504" s="1355"/>
      <c r="V504" s="8"/>
      <c r="W504" s="8"/>
      <c r="X504" s="8"/>
      <c r="Y504" s="8"/>
      <c r="Z504" s="8"/>
    </row>
    <row r="505" spans="1:26" s="856" customFormat="1" ht="12" hidden="1" customHeight="1">
      <c r="A505" s="8"/>
      <c r="B505" s="8"/>
      <c r="C505" s="31"/>
      <c r="D505" s="31"/>
      <c r="E505" s="811"/>
      <c r="F505" s="8"/>
      <c r="G505" s="132"/>
      <c r="H505" s="8"/>
      <c r="I505" s="8"/>
      <c r="J505" s="8"/>
      <c r="K505" s="8"/>
      <c r="L505" s="8"/>
      <c r="M505" s="8"/>
      <c r="N505" s="49"/>
      <c r="O505" s="1014"/>
      <c r="P505" s="8"/>
      <c r="Q505" s="8"/>
      <c r="R505" s="685"/>
      <c r="S505" s="132"/>
      <c r="T505" s="132"/>
      <c r="U505" s="1365"/>
      <c r="V505" s="8"/>
      <c r="W505" s="8"/>
      <c r="X505" s="8"/>
      <c r="Y505" s="8"/>
      <c r="Z505" s="8"/>
    </row>
    <row r="506" spans="1:26" s="856" customFormat="1" ht="12" hidden="1" customHeight="1">
      <c r="A506" s="8"/>
      <c r="B506" s="8"/>
      <c r="C506" s="31"/>
      <c r="D506" s="31"/>
      <c r="E506" s="8"/>
      <c r="F506" s="8"/>
      <c r="G506" s="132"/>
      <c r="H506" s="8"/>
      <c r="I506" s="8"/>
      <c r="J506" s="8"/>
      <c r="K506" s="8"/>
      <c r="L506" s="8"/>
      <c r="M506" s="8"/>
      <c r="N506" s="49"/>
      <c r="O506" s="1014"/>
      <c r="P506" s="8"/>
      <c r="Q506" s="8"/>
      <c r="R506" s="685"/>
      <c r="S506" s="132"/>
      <c r="T506" s="132"/>
      <c r="U506" s="1355"/>
      <c r="V506" s="8"/>
      <c r="W506" s="8"/>
      <c r="X506" s="8"/>
      <c r="Y506" s="8"/>
      <c r="Z506" s="8"/>
    </row>
    <row r="507" spans="1:26" s="115" customFormat="1" ht="12" hidden="1" customHeight="1">
      <c r="A507" s="8"/>
      <c r="B507" s="8"/>
      <c r="C507" s="31"/>
      <c r="D507" s="31"/>
      <c r="E507" s="8"/>
      <c r="F507" s="8"/>
      <c r="G507" s="132"/>
      <c r="H507" s="8"/>
      <c r="I507" s="8"/>
      <c r="J507" s="8"/>
      <c r="K507" s="8"/>
      <c r="L507" s="8"/>
      <c r="M507" s="8"/>
      <c r="N507" s="49"/>
      <c r="O507" s="1014"/>
      <c r="P507" s="8"/>
      <c r="Q507" s="8"/>
      <c r="R507" s="685"/>
      <c r="S507" s="132"/>
      <c r="T507" s="132"/>
      <c r="U507" s="1355"/>
      <c r="V507" s="8"/>
      <c r="W507" s="8"/>
      <c r="X507" s="8"/>
      <c r="Y507" s="8"/>
      <c r="Z507" s="8"/>
    </row>
    <row r="508" spans="1:26" hidden="1">
      <c r="N508" s="49"/>
      <c r="O508" s="1014"/>
      <c r="U508" s="1355"/>
    </row>
    <row r="509" spans="1:26" s="115" customFormat="1" ht="12" hidden="1" customHeight="1">
      <c r="A509" s="7"/>
      <c r="B509" s="7"/>
      <c r="C509" s="29"/>
      <c r="D509" s="29"/>
      <c r="E509" s="8"/>
      <c r="F509" s="7"/>
      <c r="G509" s="133"/>
      <c r="H509" s="7"/>
      <c r="I509" s="7"/>
      <c r="J509" s="7"/>
      <c r="K509" s="7"/>
      <c r="L509" s="7"/>
      <c r="M509" s="7"/>
      <c r="N509" s="7"/>
      <c r="O509" s="1012"/>
      <c r="P509" s="7"/>
      <c r="Q509" s="8"/>
      <c r="R509" s="685"/>
      <c r="S509" s="133"/>
      <c r="T509" s="133"/>
      <c r="U509" s="74"/>
      <c r="V509" s="8"/>
      <c r="W509" s="8"/>
      <c r="X509" s="8"/>
      <c r="Y509" s="8"/>
      <c r="Z509" s="8"/>
    </row>
    <row r="510" spans="1:26" s="689" customFormat="1" ht="12" hidden="1" customHeight="1">
      <c r="A510" s="7"/>
      <c r="B510" s="773"/>
      <c r="C510" s="29"/>
      <c r="D510" s="29"/>
      <c r="E510" s="8"/>
      <c r="F510" s="7"/>
      <c r="G510" s="133"/>
      <c r="H510" s="7"/>
      <c r="I510" s="7"/>
      <c r="J510" s="7"/>
      <c r="K510" s="7"/>
      <c r="L510" s="7"/>
      <c r="M510" s="7"/>
      <c r="N510" s="7"/>
      <c r="O510" s="1012"/>
      <c r="P510" s="7"/>
      <c r="Q510" s="8"/>
      <c r="R510" s="685"/>
      <c r="S510" s="133"/>
      <c r="T510" s="133"/>
      <c r="U510" s="74"/>
      <c r="V510" s="796"/>
      <c r="W510" s="8"/>
      <c r="X510" s="8"/>
      <c r="Y510" s="8"/>
      <c r="Z510" s="8"/>
    </row>
    <row r="511" spans="1:26" s="699" customFormat="1" ht="12" hidden="1" customHeight="1">
      <c r="A511" s="7" t="s">
        <v>1303</v>
      </c>
      <c r="B511" s="1268">
        <f>SUM(O456:O511)</f>
        <v>0</v>
      </c>
      <c r="C511" s="826" t="e">
        <f>B511/B447</f>
        <v>#DIV/0!</v>
      </c>
      <c r="D511" s="9" t="s">
        <v>574</v>
      </c>
      <c r="E511" s="8"/>
      <c r="F511" s="7"/>
      <c r="G511" s="133"/>
      <c r="H511" s="7"/>
      <c r="I511" s="7"/>
      <c r="J511" s="7"/>
      <c r="K511" s="7"/>
      <c r="L511" s="7"/>
      <c r="M511" s="7"/>
      <c r="N511" s="7"/>
      <c r="O511" s="1012"/>
      <c r="P511" s="7"/>
      <c r="Q511" s="8"/>
      <c r="R511" s="685"/>
      <c r="S511" s="133"/>
      <c r="T511" s="133"/>
      <c r="U511" s="74"/>
      <c r="V511" s="8"/>
      <c r="W511" s="8"/>
      <c r="X511" s="8"/>
      <c r="Y511" s="8"/>
      <c r="Z511" s="8"/>
    </row>
    <row r="512" spans="1:26" s="689" customFormat="1" ht="12" hidden="1" customHeight="1">
      <c r="A512" s="7" t="s">
        <v>463</v>
      </c>
      <c r="B512" s="1270">
        <f>SUM(R440:R511)</f>
        <v>0</v>
      </c>
      <c r="C512" s="1292" t="e">
        <f>B511/B512</f>
        <v>#DIV/0!</v>
      </c>
      <c r="D512" s="1266" t="s">
        <v>575</v>
      </c>
      <c r="E512" s="8"/>
      <c r="F512" s="7"/>
      <c r="G512" s="133"/>
      <c r="H512" s="7"/>
      <c r="I512" s="7"/>
      <c r="J512" s="7"/>
      <c r="K512" s="7"/>
      <c r="L512" s="7"/>
      <c r="M512" s="7"/>
      <c r="N512" s="7"/>
      <c r="O512" s="1012"/>
      <c r="P512" s="7"/>
      <c r="Q512" s="8"/>
      <c r="R512" s="685"/>
      <c r="S512" s="133"/>
      <c r="T512" s="133"/>
      <c r="U512" s="74"/>
      <c r="V512" s="8"/>
      <c r="W512" s="8"/>
      <c r="X512" s="8"/>
      <c r="Y512" s="8"/>
      <c r="Z512" s="8"/>
    </row>
    <row r="513" spans="1:26" s="900" customFormat="1" ht="12" hidden="1" customHeight="1">
      <c r="A513" s="7"/>
      <c r="B513" s="7"/>
      <c r="C513" s="29"/>
      <c r="D513" s="1266" t="s">
        <v>576</v>
      </c>
      <c r="E513" s="8"/>
      <c r="F513" s="7"/>
      <c r="G513" s="133"/>
      <c r="H513" s="7"/>
      <c r="I513" s="7"/>
      <c r="J513" s="7"/>
      <c r="K513" s="7"/>
      <c r="L513" s="7"/>
      <c r="M513" s="7"/>
      <c r="N513" s="7"/>
      <c r="O513" s="1012"/>
      <c r="P513" s="7"/>
      <c r="Q513" s="8"/>
      <c r="R513" s="685"/>
      <c r="S513" s="133"/>
      <c r="T513" s="133"/>
      <c r="U513" s="784"/>
      <c r="V513" s="8"/>
      <c r="W513" s="8"/>
      <c r="X513" s="8"/>
      <c r="Y513" s="8"/>
      <c r="Z513" s="8"/>
    </row>
    <row r="514" spans="1:26" s="115" customFormat="1" ht="12" hidden="1" customHeight="1">
      <c r="A514" s="7" t="s">
        <v>464</v>
      </c>
      <c r="B514" s="1275">
        <f>537.56*12+5800</f>
        <v>12250.72</v>
      </c>
      <c r="C514" s="29"/>
      <c r="D514" s="1266" t="s">
        <v>1304</v>
      </c>
      <c r="E514" s="8"/>
      <c r="F514" s="7"/>
      <c r="G514" s="133"/>
      <c r="H514" s="7"/>
      <c r="I514" s="7"/>
      <c r="J514" s="7"/>
      <c r="K514" s="7"/>
      <c r="L514" s="7"/>
      <c r="M514" s="7"/>
      <c r="N514" s="7"/>
      <c r="O514" s="1012"/>
      <c r="P514" s="7"/>
      <c r="Q514" s="8"/>
      <c r="R514" s="685"/>
      <c r="S514" s="133"/>
      <c r="T514" s="133"/>
      <c r="U514" s="7"/>
      <c r="V514" s="8"/>
      <c r="W514" s="8"/>
      <c r="X514" s="8"/>
      <c r="Y514" s="8"/>
      <c r="Z514" s="8"/>
    </row>
    <row r="515" spans="1:26" s="115" customFormat="1" ht="12" hidden="1" customHeight="1">
      <c r="A515" s="7"/>
      <c r="B515" s="7"/>
      <c r="C515" s="29"/>
      <c r="D515" s="1266" t="s">
        <v>577</v>
      </c>
      <c r="E515" s="8"/>
      <c r="F515" s="7"/>
      <c r="G515" s="133"/>
      <c r="H515" s="7"/>
      <c r="I515" s="7"/>
      <c r="J515" s="7"/>
      <c r="K515" s="7"/>
      <c r="L515" s="7"/>
      <c r="M515" s="7"/>
      <c r="N515" s="7"/>
      <c r="O515" s="1012"/>
      <c r="P515" s="7"/>
      <c r="Q515" s="8"/>
      <c r="R515" s="685"/>
      <c r="S515" s="133"/>
      <c r="T515" s="133"/>
      <c r="U515" s="7"/>
      <c r="V515" s="8"/>
      <c r="W515" s="8"/>
      <c r="X515" s="8"/>
      <c r="Y515" s="8"/>
      <c r="Z515" s="8"/>
    </row>
    <row r="516" spans="1:26" s="115" customFormat="1" ht="12" hidden="1" customHeight="1">
      <c r="A516" s="7" t="s">
        <v>1236</v>
      </c>
      <c r="B516" s="773">
        <f>B511-B514-E517</f>
        <v>-12250.72</v>
      </c>
      <c r="C516" s="29"/>
      <c r="D516" s="1266" t="s">
        <v>578</v>
      </c>
      <c r="E516" s="8"/>
      <c r="F516" s="7"/>
      <c r="G516" s="133"/>
      <c r="H516" s="7"/>
      <c r="I516" s="7"/>
      <c r="J516" s="7"/>
      <c r="K516" s="7"/>
      <c r="L516" s="773"/>
      <c r="M516" s="7"/>
      <c r="N516" s="7"/>
      <c r="O516" s="1012"/>
      <c r="P516" s="7"/>
      <c r="Q516" s="8"/>
      <c r="R516" s="685"/>
      <c r="S516" s="133"/>
      <c r="T516" s="133"/>
      <c r="U516" s="7"/>
      <c r="V516" s="8"/>
      <c r="W516" s="8"/>
      <c r="X516" s="8"/>
      <c r="Y516" s="8"/>
      <c r="Z516" s="8"/>
    </row>
    <row r="517" spans="1:26" s="115" customFormat="1" ht="12" hidden="1" customHeight="1">
      <c r="A517" s="7" t="s">
        <v>466</v>
      </c>
      <c r="B517" s="773">
        <f>B511/12</f>
        <v>0</v>
      </c>
      <c r="C517" s="29"/>
      <c r="D517" s="74" t="s">
        <v>585</v>
      </c>
      <c r="E517" s="1275">
        <f>SUM(E512:E516)</f>
        <v>0</v>
      </c>
      <c r="F517" s="7"/>
      <c r="G517" s="133"/>
      <c r="H517" s="7"/>
      <c r="I517" s="7"/>
      <c r="J517" s="7"/>
      <c r="K517" s="7"/>
      <c r="L517" s="7"/>
      <c r="M517" s="7"/>
      <c r="N517" s="7"/>
      <c r="O517" s="1012"/>
      <c r="P517" s="7"/>
      <c r="Q517" s="8"/>
      <c r="R517" s="685"/>
      <c r="S517" s="133"/>
      <c r="T517" s="133"/>
      <c r="U517" s="7"/>
      <c r="V517" s="8"/>
      <c r="W517" s="8"/>
      <c r="X517" s="8"/>
      <c r="Y517" s="8"/>
      <c r="Z517" s="8"/>
    </row>
    <row r="518" spans="1:26" s="689" customFormat="1" ht="12" hidden="1" customHeight="1">
      <c r="A518" s="8"/>
      <c r="B518" s="773"/>
      <c r="C518" s="29"/>
      <c r="D518" s="29"/>
      <c r="E518" s="7"/>
      <c r="F518" s="7"/>
      <c r="G518" s="133"/>
      <c r="H518" s="7"/>
      <c r="I518" s="7"/>
      <c r="J518" s="7"/>
      <c r="K518" s="7"/>
      <c r="L518" s="7"/>
      <c r="M518" s="7"/>
      <c r="N518" s="7"/>
      <c r="O518" s="1012"/>
      <c r="P518" s="7"/>
      <c r="Q518" s="8"/>
      <c r="R518" s="685"/>
      <c r="S518" s="133"/>
      <c r="T518" s="133"/>
      <c r="U518" s="74"/>
      <c r="V518" s="8"/>
      <c r="W518" s="8"/>
      <c r="X518" s="8"/>
      <c r="Y518" s="8"/>
      <c r="Z518" s="8"/>
    </row>
    <row r="519" spans="1:26" s="115" customFormat="1" ht="12" hidden="1" customHeight="1">
      <c r="A519" s="8"/>
      <c r="B519" s="773"/>
      <c r="C519" s="29"/>
      <c r="D519" s="29"/>
      <c r="E519" s="7"/>
      <c r="F519" s="7"/>
      <c r="G519" s="133"/>
      <c r="H519" s="7"/>
      <c r="I519" s="7"/>
      <c r="J519" s="7"/>
      <c r="K519" s="7"/>
      <c r="L519" s="7"/>
      <c r="M519" s="7"/>
      <c r="N519" s="7"/>
      <c r="O519" s="1012"/>
      <c r="P519" s="7"/>
      <c r="Q519" s="8"/>
      <c r="R519" s="685"/>
      <c r="S519" s="133"/>
      <c r="T519" s="133"/>
      <c r="U519" s="74"/>
      <c r="V519" s="8"/>
      <c r="W519" s="8"/>
      <c r="X519" s="8"/>
      <c r="Y519" s="8"/>
      <c r="Z519" s="8"/>
    </row>
    <row r="520" spans="1:26" s="115" customFormat="1" ht="12" hidden="1" customHeight="1">
      <c r="A520" s="8"/>
      <c r="B520" s="773"/>
      <c r="C520" s="29"/>
      <c r="D520" s="29"/>
      <c r="E520" s="7"/>
      <c r="F520" s="7"/>
      <c r="G520" s="133"/>
      <c r="H520" s="7"/>
      <c r="I520" s="7"/>
      <c r="J520" s="7"/>
      <c r="K520" s="7"/>
      <c r="L520" s="7"/>
      <c r="M520" s="7"/>
      <c r="N520" s="7"/>
      <c r="O520" s="1012"/>
      <c r="P520" s="7"/>
      <c r="Q520" s="8"/>
      <c r="R520" s="685"/>
      <c r="S520" s="133"/>
      <c r="T520" s="133"/>
      <c r="U520" s="74"/>
      <c r="V520" s="8"/>
      <c r="W520" s="8"/>
      <c r="X520" s="8"/>
      <c r="Y520" s="8"/>
      <c r="Z520" s="8"/>
    </row>
    <row r="521" spans="1:26" s="408" customFormat="1" ht="12" hidden="1" customHeight="1">
      <c r="A521" s="8"/>
      <c r="B521" s="773"/>
      <c r="C521" s="29"/>
      <c r="D521" s="29"/>
      <c r="E521" s="7"/>
      <c r="F521" s="7"/>
      <c r="G521" s="133"/>
      <c r="H521" s="7"/>
      <c r="I521" s="7"/>
      <c r="J521" s="7"/>
      <c r="K521" s="7"/>
      <c r="L521" s="7"/>
      <c r="M521" s="7"/>
      <c r="N521" s="7"/>
      <c r="O521" s="1012"/>
      <c r="P521" s="7"/>
      <c r="Q521" s="8"/>
      <c r="R521" s="685"/>
      <c r="S521" s="133"/>
      <c r="T521" s="133"/>
      <c r="U521" s="74"/>
      <c r="V521" s="8"/>
      <c r="W521" s="8"/>
      <c r="X521" s="8"/>
      <c r="Y521" s="8"/>
      <c r="Z521" s="8"/>
    </row>
    <row r="522" spans="1:26" s="115" customFormat="1" ht="12" hidden="1" customHeight="1">
      <c r="A522" s="8"/>
      <c r="B522" s="773"/>
      <c r="C522" s="29"/>
      <c r="D522" s="29"/>
      <c r="E522" s="7"/>
      <c r="F522" s="7"/>
      <c r="G522" s="133"/>
      <c r="H522" s="7"/>
      <c r="I522" s="7"/>
      <c r="J522" s="7"/>
      <c r="K522" s="7"/>
      <c r="L522" s="7"/>
      <c r="M522" s="7"/>
      <c r="N522" s="7"/>
      <c r="O522" s="1012"/>
      <c r="P522" s="7"/>
      <c r="Q522" s="8"/>
      <c r="R522" s="685"/>
      <c r="S522" s="133"/>
      <c r="T522" s="133"/>
      <c r="U522" s="74"/>
      <c r="V522" s="8"/>
      <c r="W522" s="8"/>
      <c r="X522" s="8"/>
      <c r="Y522" s="8"/>
      <c r="Z522" s="8"/>
    </row>
    <row r="523" spans="1:26" s="838" customFormat="1" ht="12" hidden="1" customHeight="1">
      <c r="A523" s="8"/>
      <c r="B523" s="773"/>
      <c r="C523" s="29"/>
      <c r="D523" s="29"/>
      <c r="E523" s="7"/>
      <c r="F523" s="7"/>
      <c r="G523" s="133"/>
      <c r="H523" s="7"/>
      <c r="I523" s="7"/>
      <c r="J523" s="7"/>
      <c r="K523" s="7"/>
      <c r="L523" s="7"/>
      <c r="M523" s="7"/>
      <c r="N523" s="7"/>
      <c r="O523" s="1012"/>
      <c r="P523" s="7"/>
      <c r="Q523" s="8"/>
      <c r="R523" s="685"/>
      <c r="S523" s="133"/>
      <c r="T523" s="133"/>
      <c r="U523" s="1361"/>
      <c r="V523" s="8"/>
      <c r="W523" s="8"/>
      <c r="X523" s="8"/>
      <c r="Y523" s="8"/>
      <c r="Z523" s="8"/>
    </row>
    <row r="524" spans="1:26" s="689" customFormat="1" ht="12" hidden="1" customHeight="1">
      <c r="A524" s="8"/>
      <c r="B524" s="773"/>
      <c r="C524" s="29"/>
      <c r="D524" s="29"/>
      <c r="E524" s="7"/>
      <c r="F524" s="7"/>
      <c r="G524" s="133"/>
      <c r="H524" s="7"/>
      <c r="I524" s="7"/>
      <c r="J524" s="7"/>
      <c r="K524" s="7"/>
      <c r="L524" s="7"/>
      <c r="M524" s="7"/>
      <c r="N524" s="7"/>
      <c r="O524" s="1012"/>
      <c r="P524" s="7"/>
      <c r="Q524" s="8"/>
      <c r="R524" s="685"/>
      <c r="S524" s="133"/>
      <c r="T524" s="133"/>
      <c r="U524" s="74"/>
      <c r="V524" s="8"/>
      <c r="W524" s="8"/>
      <c r="X524" s="8"/>
      <c r="Y524" s="8"/>
      <c r="Z524" s="8"/>
    </row>
    <row r="525" spans="1:26" s="115" customFormat="1" ht="12" hidden="1" customHeight="1">
      <c r="A525" s="8"/>
      <c r="B525" s="773"/>
      <c r="C525" s="29"/>
      <c r="D525" s="29"/>
      <c r="E525" s="7"/>
      <c r="F525" s="7"/>
      <c r="G525" s="133"/>
      <c r="H525" s="7"/>
      <c r="I525" s="7"/>
      <c r="J525" s="7"/>
      <c r="K525" s="7"/>
      <c r="L525" s="7"/>
      <c r="M525" s="7"/>
      <c r="N525" s="7"/>
      <c r="O525" s="1012"/>
      <c r="P525" s="7"/>
      <c r="Q525" s="8"/>
      <c r="R525" s="685"/>
      <c r="S525" s="133"/>
      <c r="T525" s="133"/>
      <c r="U525" s="74"/>
      <c r="V525" s="8"/>
      <c r="W525" s="8"/>
      <c r="X525" s="8"/>
      <c r="Y525" s="8"/>
      <c r="Z525" s="8"/>
    </row>
    <row r="526" spans="1:26" s="115" customFormat="1" ht="12" hidden="1" customHeight="1">
      <c r="A526" s="9"/>
      <c r="B526" s="773"/>
      <c r="C526" s="29"/>
      <c r="D526" s="29"/>
      <c r="E526" s="7"/>
      <c r="F526" s="7"/>
      <c r="G526" s="133"/>
      <c r="H526" s="7"/>
      <c r="I526" s="7"/>
      <c r="J526" s="7"/>
      <c r="K526" s="7"/>
      <c r="L526" s="7"/>
      <c r="M526" s="7"/>
      <c r="N526" s="7"/>
      <c r="O526" s="1012"/>
      <c r="P526" s="7"/>
      <c r="Q526" s="8"/>
      <c r="R526" s="685"/>
      <c r="S526" s="133"/>
      <c r="T526" s="133"/>
      <c r="U526" s="1361"/>
      <c r="V526" s="8"/>
      <c r="W526" s="8"/>
      <c r="X526" s="8"/>
      <c r="Y526" s="8"/>
      <c r="Z526" s="8"/>
    </row>
    <row r="527" spans="1:26" s="115" customFormat="1" ht="12" hidden="1" customHeight="1">
      <c r="A527" s="624" t="s">
        <v>1461</v>
      </c>
      <c r="B527" s="773"/>
      <c r="C527" s="29"/>
      <c r="D527" s="29"/>
      <c r="E527" s="7"/>
      <c r="F527" s="7"/>
      <c r="G527" s="133"/>
      <c r="H527" s="7"/>
      <c r="I527" s="7"/>
      <c r="J527" s="7"/>
      <c r="K527" s="7"/>
      <c r="L527" s="7"/>
      <c r="M527" s="7"/>
      <c r="N527" s="7"/>
      <c r="O527" s="1012"/>
      <c r="P527" s="7"/>
      <c r="Q527" s="8"/>
      <c r="R527" s="685"/>
      <c r="S527" s="133"/>
      <c r="T527" s="133"/>
      <c r="U527" s="1361"/>
      <c r="V527" s="8"/>
      <c r="W527" s="8"/>
      <c r="X527" s="8"/>
      <c r="Y527" s="8"/>
      <c r="Z527" s="8"/>
    </row>
    <row r="528" spans="1:26" ht="12" hidden="1" customHeight="1">
      <c r="A528" s="21"/>
      <c r="B528" s="21"/>
      <c r="C528" s="30"/>
      <c r="D528" s="30"/>
      <c r="E528" s="21"/>
      <c r="F528" s="21"/>
      <c r="G528" s="764"/>
      <c r="H528" s="21"/>
      <c r="I528" s="21"/>
      <c r="J528" s="21"/>
      <c r="K528" s="21"/>
      <c r="L528" s="21"/>
      <c r="M528" s="21"/>
      <c r="N528" s="49"/>
      <c r="O528" s="1013"/>
      <c r="P528" s="21"/>
      <c r="Q528" s="21"/>
      <c r="R528" s="876"/>
      <c r="S528" s="764"/>
      <c r="T528" s="764"/>
      <c r="U528" s="75"/>
      <c r="V528" s="78"/>
      <c r="W528" s="21"/>
      <c r="X528" s="21"/>
      <c r="Y528" s="21"/>
      <c r="Z528" s="21"/>
    </row>
    <row r="529" spans="1:26" ht="12" hidden="1" customHeight="1">
      <c r="A529" s="21"/>
      <c r="B529" s="21"/>
      <c r="C529" s="30"/>
      <c r="D529" s="30"/>
      <c r="E529" s="21"/>
      <c r="F529" s="21"/>
      <c r="G529" s="764"/>
      <c r="H529" s="21"/>
      <c r="I529" s="21"/>
      <c r="J529" s="21"/>
      <c r="K529" s="21"/>
      <c r="L529" s="21"/>
      <c r="M529" s="21"/>
      <c r="N529" s="51"/>
      <c r="O529" s="1013"/>
      <c r="P529" s="21"/>
      <c r="Q529" s="21"/>
      <c r="R529" s="876"/>
      <c r="S529" s="764"/>
      <c r="T529" s="764"/>
      <c r="U529" s="1367"/>
      <c r="V529" s="78"/>
      <c r="W529" s="21"/>
      <c r="X529" s="21"/>
      <c r="Y529" s="21"/>
      <c r="Z529" s="21"/>
    </row>
    <row r="530" spans="1:26" ht="12" hidden="1" customHeight="1">
      <c r="K530" s="817"/>
      <c r="N530" s="49"/>
      <c r="O530" s="1014"/>
      <c r="U530" s="85"/>
      <c r="V530" s="86"/>
      <c r="X530" s="814"/>
    </row>
    <row r="531" spans="1:26" ht="12" hidden="1" customHeight="1" thickBot="1">
      <c r="N531" s="49"/>
      <c r="O531" s="1014"/>
      <c r="U531" s="603"/>
      <c r="V531" s="11"/>
    </row>
    <row r="532" spans="1:26" ht="12" hidden="1" customHeight="1" thickBot="1">
      <c r="A532" s="1244"/>
      <c r="B532" s="782"/>
      <c r="D532" s="1309"/>
      <c r="E532" s="782"/>
      <c r="N532" s="49"/>
      <c r="O532" s="1014"/>
      <c r="U532" s="603"/>
      <c r="V532" s="11"/>
    </row>
    <row r="533" spans="1:26" ht="12" hidden="1" customHeight="1" thickBot="1">
      <c r="A533" s="519"/>
      <c r="B533" s="541"/>
      <c r="C533" s="1294"/>
      <c r="D533" s="654"/>
      <c r="E533" s="13"/>
      <c r="N533" s="49"/>
      <c r="O533" s="1014"/>
      <c r="U533" s="603"/>
      <c r="V533" s="11"/>
    </row>
    <row r="534" spans="1:26" ht="12" hidden="1" customHeight="1" thickBot="1">
      <c r="D534" s="654"/>
      <c r="E534" s="13"/>
      <c r="N534" s="49"/>
      <c r="O534" s="1014"/>
      <c r="U534" s="603"/>
      <c r="V534" s="86"/>
    </row>
    <row r="535" spans="1:26" ht="12" hidden="1" customHeight="1" thickBot="1">
      <c r="A535" s="1244"/>
      <c r="B535" s="782"/>
      <c r="D535" s="654"/>
      <c r="E535" s="13"/>
      <c r="N535" s="49"/>
      <c r="O535" s="1014"/>
      <c r="U535" s="603"/>
      <c r="V535" s="11"/>
    </row>
    <row r="536" spans="1:26" ht="12" hidden="1" customHeight="1" thickBot="1">
      <c r="A536" s="1253"/>
      <c r="B536" s="1281"/>
      <c r="D536" s="654"/>
      <c r="E536" s="13"/>
      <c r="N536" s="49"/>
      <c r="O536" s="1014"/>
      <c r="U536" s="1382"/>
    </row>
    <row r="537" spans="1:26" ht="12" hidden="1" customHeight="1" thickBot="1">
      <c r="A537" s="10"/>
      <c r="B537" s="13"/>
      <c r="D537" s="567"/>
      <c r="E537" s="541"/>
      <c r="H537" s="808"/>
      <c r="N537" s="49"/>
      <c r="O537" s="1014"/>
      <c r="U537" s="603"/>
    </row>
    <row r="538" spans="1:26" ht="12" hidden="1" customHeight="1" thickBot="1">
      <c r="A538" s="1241"/>
      <c r="B538" s="541"/>
      <c r="D538" s="567"/>
      <c r="E538" s="541"/>
      <c r="N538" s="49"/>
      <c r="O538" s="1014"/>
      <c r="U538" s="1355"/>
      <c r="V538" s="11"/>
    </row>
    <row r="539" spans="1:26" ht="12" hidden="1" customHeight="1">
      <c r="A539" s="1245"/>
      <c r="E539" s="811"/>
      <c r="N539" s="49"/>
      <c r="O539" s="1014"/>
      <c r="U539" s="810"/>
      <c r="V539" s="86"/>
    </row>
    <row r="540" spans="1:26" ht="12" hidden="1" customHeight="1">
      <c r="A540" s="1245"/>
      <c r="E540" s="811"/>
      <c r="N540" s="49"/>
      <c r="O540" s="1014"/>
      <c r="U540" s="85"/>
      <c r="V540" s="86"/>
    </row>
    <row r="541" spans="1:26" ht="12" hidden="1" customHeight="1">
      <c r="A541" s="1242"/>
      <c r="E541" s="811"/>
      <c r="N541" s="49"/>
      <c r="O541" s="1014"/>
      <c r="U541" s="810"/>
      <c r="V541" s="86"/>
    </row>
    <row r="542" spans="1:26" ht="12" hidden="1" customHeight="1">
      <c r="A542" s="1242"/>
      <c r="N542" s="49"/>
      <c r="O542" s="1014"/>
      <c r="U542" s="812"/>
      <c r="V542" s="86"/>
    </row>
    <row r="543" spans="1:26" ht="12" hidden="1" customHeight="1">
      <c r="A543" s="10"/>
      <c r="N543" s="49"/>
      <c r="O543" s="1014"/>
      <c r="U543" s="812"/>
      <c r="V543" s="86"/>
    </row>
    <row r="544" spans="1:26" ht="12" hidden="1" customHeight="1">
      <c r="A544" s="10"/>
      <c r="N544" s="73"/>
      <c r="O544" s="1014"/>
      <c r="U544" s="813"/>
    </row>
    <row r="545" spans="1:26" ht="12" hidden="1" customHeight="1">
      <c r="A545" s="10"/>
      <c r="E545" s="811"/>
      <c r="L545" s="814">
        <f>O533-U533</f>
        <v>0</v>
      </c>
      <c r="N545" s="73"/>
      <c r="O545" s="1014"/>
      <c r="S545" s="132">
        <f>O535-U535</f>
        <v>0</v>
      </c>
      <c r="U545" s="810"/>
    </row>
    <row r="546" spans="1:26" ht="12" hidden="1" customHeight="1">
      <c r="N546" s="49"/>
      <c r="O546" s="1014"/>
      <c r="U546" s="810"/>
    </row>
    <row r="547" spans="1:26" ht="12" hidden="1" customHeight="1">
      <c r="A547" s="10"/>
      <c r="E547" s="811"/>
      <c r="N547" s="49"/>
      <c r="O547" s="1014"/>
      <c r="U547" s="818"/>
    </row>
    <row r="548" spans="1:26" ht="12" hidden="1" customHeight="1">
      <c r="A548" s="10"/>
      <c r="B548" s="10"/>
      <c r="N548" s="49"/>
      <c r="O548" s="1014"/>
      <c r="U548" s="810"/>
    </row>
    <row r="549" spans="1:26" ht="12" hidden="1" customHeight="1">
      <c r="A549" s="10"/>
      <c r="N549" s="49"/>
      <c r="O549" s="1014"/>
      <c r="U549" s="810"/>
    </row>
    <row r="550" spans="1:26" s="355" customFormat="1" ht="12" hidden="1" customHeight="1">
      <c r="A550" s="10"/>
      <c r="B550" s="8"/>
      <c r="C550" s="31"/>
      <c r="D550" s="31"/>
      <c r="E550" s="8"/>
      <c r="F550" s="8"/>
      <c r="G550" s="132"/>
      <c r="H550" s="8"/>
      <c r="I550" s="8"/>
      <c r="J550" s="8"/>
      <c r="K550" s="8"/>
      <c r="L550" s="8"/>
      <c r="M550" s="8"/>
      <c r="N550" s="49"/>
      <c r="O550" s="1014"/>
      <c r="P550" s="8"/>
      <c r="Q550" s="8"/>
      <c r="R550" s="685"/>
      <c r="S550" s="132"/>
      <c r="T550" s="132"/>
      <c r="U550" s="810"/>
      <c r="V550" s="8"/>
      <c r="W550" s="8"/>
      <c r="X550" s="8"/>
      <c r="Y550" s="8"/>
      <c r="Z550" s="8"/>
    </row>
    <row r="551" spans="1:26" s="355" customFormat="1" ht="12" hidden="1" customHeight="1">
      <c r="A551" s="7"/>
      <c r="B551" s="7"/>
      <c r="C551" s="29"/>
      <c r="D551" s="29"/>
      <c r="E551" s="8"/>
      <c r="F551" s="7"/>
      <c r="G551" s="133"/>
      <c r="H551" s="7"/>
      <c r="I551" s="7"/>
      <c r="J551" s="7"/>
      <c r="K551" s="7"/>
      <c r="L551" s="7"/>
      <c r="M551" s="7"/>
      <c r="N551" s="7"/>
      <c r="O551" s="1012"/>
      <c r="P551" s="7"/>
      <c r="Q551" s="8"/>
      <c r="R551" s="685"/>
      <c r="S551" s="133"/>
      <c r="T551" s="133"/>
      <c r="U551" s="74"/>
      <c r="V551" s="8"/>
      <c r="W551" s="8"/>
      <c r="X551" s="8"/>
      <c r="Y551" s="8"/>
      <c r="Z551" s="8"/>
    </row>
    <row r="552" spans="1:26" s="355" customFormat="1" ht="12" hidden="1" customHeight="1">
      <c r="A552" s="7"/>
      <c r="B552" s="773"/>
      <c r="C552" s="29"/>
      <c r="D552" s="29"/>
      <c r="E552" s="8"/>
      <c r="F552" s="7"/>
      <c r="G552" s="133"/>
      <c r="H552" s="7"/>
      <c r="I552" s="7"/>
      <c r="J552" s="7"/>
      <c r="K552" s="7"/>
      <c r="L552" s="7"/>
      <c r="M552" s="7"/>
      <c r="N552" s="7"/>
      <c r="O552" s="1012"/>
      <c r="P552" s="7"/>
      <c r="Q552" s="8"/>
      <c r="R552" s="685"/>
      <c r="S552" s="133"/>
      <c r="T552" s="133"/>
      <c r="U552" s="74"/>
      <c r="V552" s="796"/>
      <c r="W552" s="8"/>
      <c r="X552" s="8"/>
      <c r="Y552" s="8"/>
      <c r="Z552" s="8"/>
    </row>
    <row r="553" spans="1:26" s="355" customFormat="1" ht="12" hidden="1" customHeight="1">
      <c r="A553" s="7" t="s">
        <v>1574</v>
      </c>
      <c r="B553" s="1268">
        <f>SUM(O494:O553)</f>
        <v>0</v>
      </c>
      <c r="C553" s="826" t="e">
        <f>B553/B487</f>
        <v>#DIV/0!</v>
      </c>
      <c r="D553" s="9" t="s">
        <v>574</v>
      </c>
      <c r="E553" s="8"/>
      <c r="F553" s="7"/>
      <c r="G553" s="133"/>
      <c r="H553" s="7"/>
      <c r="I553" s="7"/>
      <c r="J553" s="7"/>
      <c r="K553" s="7"/>
      <c r="L553" s="7"/>
      <c r="M553" s="7"/>
      <c r="N553" s="7"/>
      <c r="O553" s="1012"/>
      <c r="P553" s="7"/>
      <c r="Q553" s="8"/>
      <c r="R553" s="685"/>
      <c r="S553" s="133"/>
      <c r="T553" s="133"/>
      <c r="U553" s="74"/>
      <c r="V553" s="8"/>
      <c r="W553" s="8"/>
      <c r="X553" s="8"/>
      <c r="Y553" s="8"/>
      <c r="Z553" s="8"/>
    </row>
    <row r="554" spans="1:26" s="954" customFormat="1" ht="12" hidden="1" customHeight="1">
      <c r="A554" s="7" t="s">
        <v>463</v>
      </c>
      <c r="B554" s="1270">
        <f>SUM(R481:R553)</f>
        <v>0</v>
      </c>
      <c r="C554" s="1292" t="e">
        <f>B553/B554</f>
        <v>#DIV/0!</v>
      </c>
      <c r="D554" s="1266" t="s">
        <v>575</v>
      </c>
      <c r="E554" s="8"/>
      <c r="F554" s="7"/>
      <c r="G554" s="133"/>
      <c r="H554" s="7"/>
      <c r="I554" s="7"/>
      <c r="J554" s="7"/>
      <c r="K554" s="7"/>
      <c r="L554" s="7"/>
      <c r="M554" s="7"/>
      <c r="N554" s="7"/>
      <c r="O554" s="1012"/>
      <c r="P554" s="7"/>
      <c r="Q554" s="8"/>
      <c r="R554" s="685"/>
      <c r="S554" s="133">
        <v>3270</v>
      </c>
      <c r="T554" s="133"/>
      <c r="U554" s="74"/>
      <c r="V554" s="8">
        <f xml:space="preserve"> 3270/4</f>
        <v>817.5</v>
      </c>
      <c r="W554" s="8"/>
      <c r="X554" s="8"/>
      <c r="Y554" s="8"/>
      <c r="Z554" s="8"/>
    </row>
    <row r="555" spans="1:26" s="971" customFormat="1" ht="13.2" hidden="1">
      <c r="A555" s="7"/>
      <c r="B555" s="7"/>
      <c r="C555" s="29"/>
      <c r="D555" s="1266" t="s">
        <v>576</v>
      </c>
      <c r="E555" s="8"/>
      <c r="F555" s="7"/>
      <c r="G555" s="133"/>
      <c r="H555" s="7"/>
      <c r="I555" s="7"/>
      <c r="J555" s="7"/>
      <c r="K555" s="8"/>
      <c r="L555" s="7"/>
      <c r="M555" s="7"/>
      <c r="N555" s="7"/>
      <c r="O555" s="1012"/>
      <c r="P555" s="7"/>
      <c r="Q555" s="8"/>
      <c r="R555" s="685"/>
      <c r="S555" s="133">
        <v>1190</v>
      </c>
      <c r="T555" s="133">
        <f>S555/4</f>
        <v>297.5</v>
      </c>
      <c r="U555" s="773">
        <f>S555-T555</f>
        <v>892.5</v>
      </c>
      <c r="V555" s="8">
        <f>1190/4*3</f>
        <v>892.5</v>
      </c>
      <c r="W555" s="8"/>
      <c r="X555" s="8"/>
      <c r="Y555" s="8"/>
      <c r="Z555" s="8"/>
    </row>
    <row r="556" spans="1:26" s="446" customFormat="1" ht="13.2" hidden="1">
      <c r="A556" s="7" t="s">
        <v>464</v>
      </c>
      <c r="B556" s="1277">
        <f>537.56*12</f>
        <v>6450.7199999999993</v>
      </c>
      <c r="C556" s="29"/>
      <c r="D556" s="1266" t="s">
        <v>1304</v>
      </c>
      <c r="E556" s="8"/>
      <c r="F556" s="7"/>
      <c r="G556" s="133"/>
      <c r="H556" s="7"/>
      <c r="I556" s="7"/>
      <c r="J556" s="7"/>
      <c r="K556" s="8"/>
      <c r="L556" s="7"/>
      <c r="M556" s="7"/>
      <c r="N556" s="7"/>
      <c r="O556" s="1012"/>
      <c r="P556" s="7"/>
      <c r="Q556" s="8"/>
      <c r="R556" s="685"/>
      <c r="S556" s="133">
        <v>1090</v>
      </c>
      <c r="T556" s="133"/>
      <c r="U556" s="7"/>
      <c r="V556" s="8"/>
      <c r="W556" s="8"/>
      <c r="X556" s="8"/>
      <c r="Y556" s="8"/>
      <c r="Z556" s="8"/>
    </row>
    <row r="557" spans="1:26" s="991" customFormat="1" ht="13.2" hidden="1">
      <c r="A557" s="7" t="s">
        <v>574</v>
      </c>
      <c r="B557" s="1280">
        <f>E559</f>
        <v>6962.6399999999976</v>
      </c>
      <c r="C557" s="29"/>
      <c r="D557" s="1266" t="s">
        <v>577</v>
      </c>
      <c r="E557" s="8"/>
      <c r="F557" s="7"/>
      <c r="G557" s="133"/>
      <c r="H557" s="7"/>
      <c r="I557" s="7"/>
      <c r="J557" s="7"/>
      <c r="K557" s="8"/>
      <c r="L557" s="7"/>
      <c r="M557" s="7"/>
      <c r="N557" s="7"/>
      <c r="O557" s="1012"/>
      <c r="P557" s="7"/>
      <c r="Q557" s="8"/>
      <c r="R557" s="685"/>
      <c r="S557" s="133">
        <v>990</v>
      </c>
      <c r="T557" s="133"/>
      <c r="U557" s="7"/>
      <c r="V557" s="8"/>
      <c r="W557" s="8"/>
      <c r="X557" s="8"/>
      <c r="Y557" s="8"/>
      <c r="Z557" s="8"/>
    </row>
    <row r="558" spans="1:26" s="962" customFormat="1" ht="12" hidden="1" customHeight="1">
      <c r="A558" s="7" t="s">
        <v>1534</v>
      </c>
      <c r="B558" s="773">
        <f>B553-B556-B557</f>
        <v>-13413.359999999997</v>
      </c>
      <c r="C558" s="29"/>
      <c r="D558" s="1266" t="s">
        <v>578</v>
      </c>
      <c r="E558" s="8"/>
      <c r="F558" s="7"/>
      <c r="G558" s="133"/>
      <c r="H558" s="7"/>
      <c r="I558" s="7"/>
      <c r="J558" s="7"/>
      <c r="K558" s="8"/>
      <c r="L558" s="773"/>
      <c r="M558" s="7"/>
      <c r="N558" s="7"/>
      <c r="O558" s="1012"/>
      <c r="P558" s="7"/>
      <c r="Q558" s="8"/>
      <c r="R558" s="685"/>
      <c r="S558" s="133" t="e">
        <f>S555:S557</f>
        <v>#VALUE!</v>
      </c>
      <c r="T558" s="133"/>
      <c r="U558" s="7"/>
      <c r="V558" s="8"/>
      <c r="W558" s="8"/>
      <c r="X558" s="8"/>
      <c r="Y558" s="8"/>
      <c r="Z558" s="8"/>
    </row>
    <row r="559" spans="1:26" s="689" customFormat="1" ht="12" hidden="1" customHeight="1">
      <c r="A559" s="7" t="s">
        <v>466</v>
      </c>
      <c r="B559" s="773">
        <f>B558/12</f>
        <v>-1117.7799999999997</v>
      </c>
      <c r="C559" s="29"/>
      <c r="D559" s="74" t="s">
        <v>585</v>
      </c>
      <c r="E559" s="1327">
        <v>6962.6399999999976</v>
      </c>
      <c r="F559" s="7"/>
      <c r="G559" s="133"/>
      <c r="H559" s="7"/>
      <c r="I559" s="7"/>
      <c r="J559" s="7"/>
      <c r="K559" s="8"/>
      <c r="L559" s="7"/>
      <c r="M559" s="7"/>
      <c r="N559" s="7"/>
      <c r="O559" s="1012"/>
      <c r="P559" s="7"/>
      <c r="Q559" s="8"/>
      <c r="R559" s="685"/>
      <c r="S559" s="133"/>
      <c r="T559" s="133"/>
      <c r="U559" s="7"/>
      <c r="V559" s="8"/>
      <c r="W559" s="8"/>
      <c r="X559" s="8"/>
      <c r="Y559" s="8"/>
      <c r="Z559" s="8"/>
    </row>
    <row r="560" spans="1:26" s="355" customFormat="1" ht="12" hidden="1" customHeight="1">
      <c r="A560" s="8"/>
      <c r="B560" s="8"/>
      <c r="C560" s="8"/>
      <c r="D560" s="8"/>
      <c r="E560" s="8"/>
      <c r="F560" s="8"/>
      <c r="G560" s="132"/>
      <c r="H560" s="8"/>
      <c r="I560" s="8"/>
      <c r="J560" s="8"/>
      <c r="K560" s="8"/>
      <c r="L560" s="8"/>
      <c r="M560" s="8"/>
      <c r="N560" s="8"/>
      <c r="O560" s="1015"/>
      <c r="P560" s="8"/>
      <c r="Q560" s="8"/>
      <c r="R560" s="685"/>
      <c r="S560" s="132"/>
      <c r="T560" s="132"/>
      <c r="U560" s="8"/>
      <c r="V560" s="8"/>
      <c r="W560" s="8"/>
      <c r="X560" s="8"/>
      <c r="Y560" s="8"/>
      <c r="Z560" s="8"/>
    </row>
    <row r="561" spans="1:26" s="115" customFormat="1" ht="12" hidden="1" customHeight="1">
      <c r="A561" s="856"/>
      <c r="B561" s="856"/>
      <c r="C561" s="856"/>
      <c r="D561" s="856"/>
      <c r="E561" s="856"/>
      <c r="F561" s="856"/>
      <c r="G561" s="857"/>
      <c r="H561" s="856"/>
      <c r="I561" s="856"/>
      <c r="J561" s="856"/>
      <c r="K561" s="856"/>
      <c r="L561" s="856"/>
      <c r="M561" s="856"/>
      <c r="N561" s="856"/>
      <c r="O561" s="1032"/>
      <c r="P561" s="856"/>
      <c r="Q561" s="856"/>
      <c r="R561" s="890"/>
      <c r="S561" s="857"/>
      <c r="T561" s="857"/>
      <c r="U561" s="856"/>
      <c r="V561" s="856"/>
      <c r="W561" s="856"/>
      <c r="X561" s="856"/>
      <c r="Y561" s="856"/>
      <c r="Z561" s="856"/>
    </row>
    <row r="562" spans="1:26" s="498" customFormat="1" ht="12" hidden="1" customHeight="1">
      <c r="A562" s="856"/>
      <c r="B562" s="856"/>
      <c r="C562" s="856"/>
      <c r="D562" s="856"/>
      <c r="E562" s="856"/>
      <c r="F562" s="856"/>
      <c r="G562" s="857"/>
      <c r="H562" s="856"/>
      <c r="I562" s="856"/>
      <c r="J562" s="856"/>
      <c r="K562" s="856"/>
      <c r="L562" s="856"/>
      <c r="M562" s="856"/>
      <c r="N562" s="856"/>
      <c r="O562" s="1032"/>
      <c r="P562" s="856"/>
      <c r="Q562" s="856"/>
      <c r="R562" s="890"/>
      <c r="S562" s="857"/>
      <c r="T562" s="857"/>
      <c r="U562" s="856"/>
      <c r="V562" s="856"/>
      <c r="W562" s="856"/>
      <c r="X562" s="856"/>
      <c r="Y562" s="856"/>
      <c r="Z562" s="856"/>
    </row>
    <row r="563" spans="1:26" s="115" customFormat="1" ht="12" hidden="1" customHeight="1">
      <c r="A563" s="1267"/>
      <c r="B563" s="856"/>
      <c r="C563" s="856"/>
      <c r="D563" s="856"/>
      <c r="E563" s="856"/>
      <c r="F563" s="856"/>
      <c r="G563" s="857"/>
      <c r="H563" s="856"/>
      <c r="I563" s="856"/>
      <c r="J563" s="856"/>
      <c r="K563" s="856"/>
      <c r="L563" s="856"/>
      <c r="M563" s="856"/>
      <c r="N563" s="856"/>
      <c r="O563" s="1032"/>
      <c r="P563" s="856"/>
      <c r="Q563" s="856"/>
      <c r="R563" s="890"/>
      <c r="S563" s="857"/>
      <c r="T563" s="857"/>
      <c r="U563" s="1285"/>
      <c r="V563" s="856"/>
      <c r="W563" s="856"/>
      <c r="X563" s="856"/>
      <c r="Y563" s="856"/>
      <c r="Z563" s="856"/>
    </row>
    <row r="564" spans="1:26" s="115" customFormat="1" ht="12" hidden="1" customHeight="1">
      <c r="A564" s="624" t="s">
        <v>1575</v>
      </c>
      <c r="B564" s="856"/>
      <c r="C564" s="856"/>
      <c r="D564" s="856"/>
      <c r="E564" s="856"/>
      <c r="F564" s="856"/>
      <c r="G564" s="857"/>
      <c r="H564" s="856"/>
      <c r="I564" s="856"/>
      <c r="J564" s="856"/>
      <c r="K564" s="856"/>
      <c r="L564" s="856"/>
      <c r="M564" s="856"/>
      <c r="N564" s="856"/>
      <c r="O564" s="1032"/>
      <c r="P564" s="856"/>
      <c r="Q564" s="856"/>
      <c r="R564" s="890"/>
      <c r="S564" s="857"/>
      <c r="T564" s="857"/>
      <c r="U564" s="1358">
        <f>U573*3</f>
        <v>0</v>
      </c>
      <c r="V564" s="856"/>
      <c r="W564" s="856"/>
      <c r="X564" s="856"/>
      <c r="Y564" s="856"/>
      <c r="Z564" s="856"/>
    </row>
    <row r="565" spans="1:26" s="115" customFormat="1" ht="12" hidden="1" customHeight="1">
      <c r="A565" s="624"/>
      <c r="B565" s="856"/>
      <c r="C565" s="856"/>
      <c r="D565" s="856"/>
      <c r="E565" s="856"/>
      <c r="F565" s="856"/>
      <c r="G565" s="857"/>
      <c r="H565" s="856"/>
      <c r="I565" s="856"/>
      <c r="J565" s="856"/>
      <c r="K565" s="856"/>
      <c r="L565" s="856"/>
      <c r="M565" s="856"/>
      <c r="N565" s="856"/>
      <c r="O565" s="1032"/>
      <c r="P565" s="856"/>
      <c r="Q565" s="856"/>
      <c r="R565" s="890"/>
      <c r="S565" s="857"/>
      <c r="T565" s="857"/>
      <c r="U565" s="1285"/>
      <c r="V565" s="856"/>
      <c r="W565" s="856"/>
      <c r="X565" s="856"/>
      <c r="Y565" s="856"/>
      <c r="Z565" s="856"/>
    </row>
    <row r="566" spans="1:26" s="115" customFormat="1" ht="12" hidden="1" customHeight="1">
      <c r="A566" s="10"/>
      <c r="B566" s="8"/>
      <c r="C566" s="31"/>
      <c r="D566" s="31"/>
      <c r="E566" s="8"/>
      <c r="F566" s="8"/>
      <c r="G566" s="132"/>
      <c r="H566" s="8"/>
      <c r="I566" s="8"/>
      <c r="J566" s="8"/>
      <c r="K566" s="15"/>
      <c r="L566" s="15"/>
      <c r="M566" s="8"/>
      <c r="N566" s="49"/>
      <c r="O566" s="1014"/>
      <c r="P566" s="8"/>
      <c r="Q566" s="8"/>
      <c r="R566" s="685"/>
      <c r="S566" s="132"/>
      <c r="T566" s="132"/>
      <c r="U566" s="85"/>
      <c r="V566" s="86"/>
      <c r="W566" s="8"/>
      <c r="X566" s="8"/>
      <c r="Y566" s="8"/>
      <c r="Z566" s="8"/>
    </row>
    <row r="567" spans="1:26" s="115" customFormat="1" ht="12" hidden="1" customHeight="1">
      <c r="A567" s="8"/>
      <c r="B567" s="8"/>
      <c r="C567" s="31"/>
      <c r="D567" s="31"/>
      <c r="E567" s="8"/>
      <c r="F567" s="8"/>
      <c r="G567" s="132"/>
      <c r="H567" s="404"/>
      <c r="I567" s="8"/>
      <c r="J567" s="8"/>
      <c r="K567" s="15"/>
      <c r="L567" s="15"/>
      <c r="M567" s="8"/>
      <c r="N567" s="49"/>
      <c r="O567" s="1014"/>
      <c r="P567" s="8"/>
      <c r="Q567" s="8">
        <f>O552-U552</f>
        <v>0</v>
      </c>
      <c r="R567" s="685"/>
      <c r="S567" s="132"/>
      <c r="T567" s="132"/>
      <c r="U567" s="126"/>
      <c r="V567" s="86"/>
      <c r="W567" s="8"/>
      <c r="X567" s="8"/>
      <c r="Y567" s="8"/>
      <c r="Z567" s="8"/>
    </row>
    <row r="568" spans="1:26" s="115" customFormat="1" ht="12" hidden="1" customHeight="1">
      <c r="A568" s="10"/>
      <c r="B568" s="8"/>
      <c r="C568" s="31"/>
      <c r="D568" s="31"/>
      <c r="E568" s="8"/>
      <c r="F568" s="8"/>
      <c r="G568" s="132"/>
      <c r="H568" s="404"/>
      <c r="I568" s="8"/>
      <c r="J568" s="8"/>
      <c r="K568" s="15"/>
      <c r="L568" s="15"/>
      <c r="M568" s="8"/>
      <c r="N568" s="49"/>
      <c r="O568" s="1014"/>
      <c r="P568" s="8"/>
      <c r="Q568" s="8"/>
      <c r="R568" s="685"/>
      <c r="S568" s="132"/>
      <c r="T568" s="132"/>
      <c r="U568" s="85"/>
      <c r="V568" s="86"/>
      <c r="W568" s="8"/>
      <c r="X568" s="8"/>
      <c r="Y568" s="8"/>
      <c r="Z568" s="8"/>
    </row>
    <row r="569" spans="1:26" s="115" customFormat="1" ht="12" hidden="1" customHeight="1">
      <c r="A569" s="8"/>
      <c r="B569" s="8"/>
      <c r="C569" s="31"/>
      <c r="D569" s="31"/>
      <c r="E569" s="8"/>
      <c r="F569" s="8"/>
      <c r="G569" s="132"/>
      <c r="H569" s="404"/>
      <c r="I569" s="8"/>
      <c r="J569" s="8"/>
      <c r="K569" s="15"/>
      <c r="L569" s="15"/>
      <c r="M569" s="8"/>
      <c r="N569" s="49"/>
      <c r="O569" s="1014"/>
      <c r="P569" s="8"/>
      <c r="Q569" s="8"/>
      <c r="R569" s="685"/>
      <c r="S569" s="132"/>
      <c r="T569" s="132"/>
      <c r="U569" s="126"/>
      <c r="V569" s="86"/>
      <c r="W569" s="8"/>
      <c r="X569" s="8"/>
      <c r="Y569" s="8"/>
      <c r="Z569" s="8"/>
    </row>
    <row r="570" spans="1:26" s="689" customFormat="1" ht="12" hidden="1" customHeight="1">
      <c r="A570" s="8"/>
      <c r="B570" s="8"/>
      <c r="C570" s="8"/>
      <c r="D570" s="8"/>
      <c r="E570" s="8"/>
      <c r="F570" s="8"/>
      <c r="G570" s="132"/>
      <c r="H570" s="404"/>
      <c r="I570" s="8"/>
      <c r="J570" s="8"/>
      <c r="K570" s="8"/>
      <c r="L570" s="8"/>
      <c r="M570" s="8"/>
      <c r="N570" s="8"/>
      <c r="O570" s="1015"/>
      <c r="P570" s="8"/>
      <c r="Q570" s="8"/>
      <c r="R570" s="685"/>
      <c r="S570" s="132"/>
      <c r="T570" s="132"/>
      <c r="U570" s="8"/>
      <c r="V570" s="862">
        <f>U552/2</f>
        <v>0</v>
      </c>
      <c r="W570" s="8"/>
      <c r="X570" s="8"/>
      <c r="Y570" s="8"/>
      <c r="Z570" s="8"/>
    </row>
    <row r="571" spans="1:26" s="115" customFormat="1" ht="12" hidden="1" customHeight="1">
      <c r="A571" s="510" t="s">
        <v>1576</v>
      </c>
      <c r="B571" s="1268">
        <f>SUM(O542:O571)</f>
        <v>0</v>
      </c>
      <c r="C571" s="826" t="e">
        <f>B571/B529</f>
        <v>#DIV/0!</v>
      </c>
      <c r="D571" s="9" t="s">
        <v>574</v>
      </c>
      <c r="E571" s="8"/>
      <c r="F571" s="7"/>
      <c r="G571" s="133"/>
      <c r="H571" s="49"/>
      <c r="I571" s="7"/>
      <c r="J571" s="7"/>
      <c r="K571" s="7"/>
      <c r="L571" s="7"/>
      <c r="M571" s="7"/>
      <c r="N571" s="7"/>
      <c r="O571" s="1012"/>
      <c r="P571" s="7"/>
      <c r="Q571" s="8"/>
      <c r="R571" s="685"/>
      <c r="S571" s="133"/>
      <c r="T571" s="133"/>
      <c r="U571" s="1361"/>
      <c r="V571" s="8"/>
      <c r="W571" s="8"/>
      <c r="X571" s="8"/>
      <c r="Y571" s="8"/>
      <c r="Z571" s="8"/>
    </row>
    <row r="572" spans="1:26" s="115" customFormat="1" ht="12" hidden="1" customHeight="1">
      <c r="A572" s="7" t="s">
        <v>463</v>
      </c>
      <c r="B572" s="1270">
        <f>SUM(R542:R571)</f>
        <v>0</v>
      </c>
      <c r="C572" s="1292" t="e">
        <f>B571/B572</f>
        <v>#DIV/0!</v>
      </c>
      <c r="D572" s="1266" t="s">
        <v>575</v>
      </c>
      <c r="E572" s="8"/>
      <c r="F572" s="7"/>
      <c r="G572" s="133"/>
      <c r="H572" s="8"/>
      <c r="I572" s="7"/>
      <c r="J572" s="7"/>
      <c r="K572" s="7"/>
      <c r="L572" s="7">
        <f>(3*3*7+1990)-((3*3*7+1990)/4)</f>
        <v>1539.75</v>
      </c>
      <c r="M572" s="7"/>
      <c r="N572" s="7"/>
      <c r="O572" s="1012"/>
      <c r="P572" s="7"/>
      <c r="Q572" s="8"/>
      <c r="R572" s="685"/>
      <c r="S572" s="133"/>
      <c r="T572" s="133"/>
      <c r="U572" s="1361"/>
      <c r="V572" s="8"/>
      <c r="W572" s="8"/>
      <c r="X572" s="8"/>
      <c r="Y572" s="8"/>
      <c r="Z572" s="8"/>
    </row>
    <row r="573" spans="1:26" s="408" customFormat="1" ht="12" hidden="1" customHeight="1">
      <c r="A573" s="7"/>
      <c r="B573" s="7"/>
      <c r="C573" s="29"/>
      <c r="D573" s="1266" t="s">
        <v>576</v>
      </c>
      <c r="E573" s="8"/>
      <c r="F573" s="7"/>
      <c r="G573" s="133"/>
      <c r="H573" s="404"/>
      <c r="I573" s="7"/>
      <c r="J573" s="7"/>
      <c r="K573" s="8"/>
      <c r="L573" s="7"/>
      <c r="M573" s="7"/>
      <c r="N573" s="7"/>
      <c r="O573" s="1012">
        <f>O563-U563+3*14</f>
        <v>42</v>
      </c>
      <c r="P573" s="7"/>
      <c r="Q573" s="8"/>
      <c r="R573" s="685"/>
      <c r="S573" s="133"/>
      <c r="T573" s="133"/>
      <c r="U573" s="784"/>
      <c r="V573" s="8"/>
      <c r="W573" s="8"/>
      <c r="X573" s="8"/>
      <c r="Y573" s="8"/>
      <c r="Z573" s="8"/>
    </row>
    <row r="574" spans="1:26" s="115" customFormat="1" ht="12" hidden="1" customHeight="1">
      <c r="A574" s="7" t="s">
        <v>464</v>
      </c>
      <c r="B574" s="1277">
        <f>537.56*12</f>
        <v>6450.7199999999993</v>
      </c>
      <c r="C574" s="29"/>
      <c r="D574" s="1266" t="s">
        <v>1304</v>
      </c>
      <c r="E574" s="8"/>
      <c r="F574" s="7"/>
      <c r="G574" s="133"/>
      <c r="H574" s="404"/>
      <c r="I574" s="7"/>
      <c r="J574" s="7"/>
      <c r="K574" s="8"/>
      <c r="L574" s="7"/>
      <c r="M574" s="7"/>
      <c r="N574" s="7"/>
      <c r="O574" s="1012"/>
      <c r="P574" s="7"/>
      <c r="Q574" s="8"/>
      <c r="R574" s="685"/>
      <c r="S574" s="133"/>
      <c r="T574" s="133"/>
      <c r="U574" s="784"/>
      <c r="V574" s="8"/>
      <c r="W574" s="8"/>
      <c r="X574" s="8"/>
      <c r="Y574" s="8"/>
      <c r="Z574" s="8"/>
    </row>
    <row r="575" spans="1:26" ht="12" hidden="1" customHeight="1" thickBot="1">
      <c r="A575" s="510" t="s">
        <v>574</v>
      </c>
      <c r="B575" s="1280">
        <f>E577</f>
        <v>6962.6399999999976</v>
      </c>
      <c r="C575" s="29"/>
      <c r="D575" s="1266" t="s">
        <v>577</v>
      </c>
      <c r="F575" s="7"/>
      <c r="G575" s="133"/>
      <c r="H575" s="404"/>
      <c r="I575" s="7"/>
      <c r="J575" s="7"/>
      <c r="L575" s="7"/>
      <c r="M575" s="7"/>
      <c r="N575" s="7"/>
      <c r="O575" s="1012"/>
      <c r="P575" s="7"/>
      <c r="S575" s="133"/>
      <c r="T575" s="133"/>
      <c r="U575" s="784"/>
    </row>
    <row r="576" spans="1:26" ht="12" hidden="1" customHeight="1" thickBot="1">
      <c r="A576" s="18" t="s">
        <v>1534</v>
      </c>
      <c r="B576" s="799">
        <f>B571-B574-B575</f>
        <v>-13413.359999999997</v>
      </c>
      <c r="C576" s="29"/>
      <c r="D576" s="1311" t="s">
        <v>578</v>
      </c>
      <c r="E576" s="782"/>
      <c r="F576" s="7"/>
      <c r="G576" s="133"/>
      <c r="H576" s="404"/>
      <c r="I576" s="7"/>
      <c r="J576" s="7"/>
      <c r="L576" s="773"/>
      <c r="M576" s="7"/>
      <c r="N576" s="7"/>
      <c r="O576" s="1012"/>
      <c r="P576" s="7"/>
      <c r="S576" s="133"/>
      <c r="T576" s="133"/>
      <c r="U576" s="7"/>
    </row>
    <row r="577" spans="1:26" ht="12" hidden="1" customHeight="1" thickBot="1">
      <c r="A577" s="768" t="s">
        <v>466</v>
      </c>
      <c r="B577" s="800">
        <f>B576/12</f>
        <v>-1117.7799999999997</v>
      </c>
      <c r="C577" s="1295"/>
      <c r="D577" s="1313" t="s">
        <v>585</v>
      </c>
      <c r="E577" s="1332">
        <v>6962.6399999999976</v>
      </c>
      <c r="F577" s="7"/>
      <c r="G577" s="133"/>
      <c r="H577" s="7"/>
      <c r="I577" s="7"/>
      <c r="J577" s="7"/>
      <c r="L577" s="7"/>
      <c r="M577" s="7"/>
      <c r="N577" s="7"/>
      <c r="O577" s="1012"/>
      <c r="P577" s="7"/>
      <c r="S577" s="133"/>
      <c r="T577" s="133"/>
      <c r="U577" s="7"/>
    </row>
    <row r="578" spans="1:26" ht="12" hidden="1" customHeight="1" thickBot="1">
      <c r="D578" s="654"/>
      <c r="E578" s="13"/>
    </row>
    <row r="579" spans="1:26" ht="12" hidden="1" customHeight="1" thickBot="1">
      <c r="A579" s="1244"/>
      <c r="B579" s="782"/>
      <c r="C579" s="34"/>
      <c r="D579" s="1308"/>
      <c r="E579" s="13"/>
      <c r="K579" s="15"/>
      <c r="N579" s="49"/>
      <c r="O579" s="1035"/>
    </row>
    <row r="580" spans="1:26" ht="12" hidden="1" customHeight="1" thickBot="1">
      <c r="A580" s="1253"/>
      <c r="B580" s="1281"/>
      <c r="C580" s="34"/>
      <c r="D580" s="1308"/>
      <c r="E580" s="13"/>
      <c r="K580" s="15"/>
      <c r="N580" s="49"/>
      <c r="O580" s="1035"/>
    </row>
    <row r="581" spans="1:26" ht="12" hidden="1" customHeight="1" thickBot="1">
      <c r="A581" s="624" t="s">
        <v>1762</v>
      </c>
      <c r="B581" s="1285"/>
      <c r="C581" s="856"/>
      <c r="D581" s="1323"/>
      <c r="E581" s="1289"/>
      <c r="F581" s="856"/>
      <c r="G581" s="857"/>
      <c r="H581" s="856"/>
      <c r="I581" s="856"/>
      <c r="J581" s="856"/>
      <c r="K581" s="856"/>
      <c r="L581" s="856"/>
      <c r="M581" s="856"/>
      <c r="N581" s="856"/>
      <c r="O581" s="1032"/>
      <c r="P581" s="856"/>
      <c r="Q581" s="856"/>
      <c r="R581" s="890"/>
      <c r="S581" s="857"/>
      <c r="T581" s="857"/>
      <c r="U581" s="858"/>
      <c r="V581" s="856"/>
      <c r="W581" s="856"/>
      <c r="X581" s="856"/>
      <c r="Y581" s="856"/>
      <c r="Z581" s="856"/>
    </row>
    <row r="582" spans="1:26" ht="12" hidden="1" customHeight="1" thickBot="1">
      <c r="A582" s="519"/>
      <c r="B582" s="541"/>
      <c r="C582" s="8"/>
      <c r="D582" s="519"/>
      <c r="E582" s="541"/>
      <c r="H582" s="404"/>
      <c r="V582" s="862"/>
    </row>
    <row r="583" spans="1:26" ht="12" hidden="1" customHeight="1">
      <c r="A583" s="510" t="s">
        <v>1763</v>
      </c>
      <c r="B583" s="1268">
        <f>SUM(O559:O581)</f>
        <v>42</v>
      </c>
      <c r="C583" s="826" t="e">
        <f>B583/B548</f>
        <v>#DIV/0!</v>
      </c>
      <c r="D583" s="9" t="s">
        <v>574</v>
      </c>
      <c r="F583" s="7"/>
      <c r="G583" s="133"/>
      <c r="H583" s="49"/>
      <c r="I583" s="7"/>
      <c r="J583" s="7"/>
      <c r="K583" s="7"/>
      <c r="L583" s="864"/>
      <c r="M583" s="7"/>
      <c r="N583" s="7"/>
      <c r="O583" s="1012"/>
      <c r="P583" s="7"/>
      <c r="S583" s="133"/>
      <c r="T583" s="133"/>
      <c r="U583" s="1361"/>
    </row>
    <row r="584" spans="1:26" ht="12" hidden="1" customHeight="1">
      <c r="A584" s="510" t="s">
        <v>463</v>
      </c>
      <c r="B584" s="1274">
        <f>SUM(R559:R582)</f>
        <v>0</v>
      </c>
      <c r="C584" s="1292" t="e">
        <f>B583/B584</f>
        <v>#DIV/0!</v>
      </c>
      <c r="D584" s="1266" t="s">
        <v>575</v>
      </c>
      <c r="F584" s="7"/>
      <c r="G584" s="133"/>
      <c r="I584" s="7"/>
      <c r="J584" s="7"/>
      <c r="K584" s="404"/>
      <c r="M584" s="7"/>
      <c r="O584" s="1012"/>
      <c r="P584" s="7"/>
      <c r="S584" s="133"/>
      <c r="T584" s="133"/>
      <c r="U584" s="1361"/>
    </row>
    <row r="585" spans="1:26" ht="12" hidden="1" customHeight="1">
      <c r="A585" s="510"/>
      <c r="B585" s="7"/>
      <c r="C585" s="29"/>
      <c r="D585" s="1266" t="s">
        <v>576</v>
      </c>
      <c r="F585" s="7"/>
      <c r="G585" s="133"/>
      <c r="H585" s="404"/>
      <c r="I585" s="7"/>
      <c r="J585" s="7"/>
      <c r="K585" s="404"/>
      <c r="L585" s="495"/>
      <c r="M585" s="7"/>
      <c r="O585" s="1012"/>
      <c r="P585" s="7"/>
      <c r="S585" s="133"/>
      <c r="T585" s="133"/>
      <c r="U585" s="784"/>
    </row>
    <row r="586" spans="1:26" ht="12" hidden="1" customHeight="1">
      <c r="A586" s="510" t="s">
        <v>464</v>
      </c>
      <c r="B586" s="1277">
        <f>537.56*2</f>
        <v>1075.1199999999999</v>
      </c>
      <c r="C586" s="29"/>
      <c r="D586" s="1266" t="s">
        <v>1304</v>
      </c>
      <c r="F586" s="7"/>
      <c r="G586" s="133"/>
      <c r="H586" s="404"/>
      <c r="I586" s="7"/>
      <c r="J586" s="7"/>
      <c r="K586" s="404"/>
      <c r="L586" s="404"/>
      <c r="M586" s="7"/>
      <c r="O586" s="1015">
        <f>O568-670</f>
        <v>-670</v>
      </c>
      <c r="P586" s="7"/>
      <c r="S586" s="133"/>
      <c r="T586" s="133"/>
      <c r="U586" s="784"/>
    </row>
    <row r="587" spans="1:26" ht="12" hidden="1" customHeight="1">
      <c r="A587" s="510" t="s">
        <v>574</v>
      </c>
      <c r="B587" s="1280">
        <f>E589</f>
        <v>6962.6399999999976</v>
      </c>
      <c r="C587" s="29"/>
      <c r="D587" s="1266" t="s">
        <v>577</v>
      </c>
      <c r="F587" s="7"/>
      <c r="G587" s="133"/>
      <c r="H587" s="404"/>
      <c r="I587" s="7"/>
      <c r="J587" s="7"/>
      <c r="K587" s="49"/>
      <c r="L587" s="49"/>
      <c r="M587" s="7"/>
      <c r="N587" s="865"/>
      <c r="O587" s="1012"/>
      <c r="P587" s="7"/>
      <c r="S587" s="133"/>
      <c r="T587" s="133"/>
      <c r="U587" s="784"/>
    </row>
    <row r="588" spans="1:26" s="115" customFormat="1" ht="12" hidden="1" customHeight="1">
      <c r="A588" s="510" t="s">
        <v>1534</v>
      </c>
      <c r="B588" s="773">
        <f>B583-B586-B587</f>
        <v>-7995.7599999999975</v>
      </c>
      <c r="C588" s="29"/>
      <c r="D588" s="1266" t="s">
        <v>578</v>
      </c>
      <c r="E588" s="8"/>
      <c r="F588" s="7"/>
      <c r="G588" s="133"/>
      <c r="H588" s="404"/>
      <c r="I588" s="7"/>
      <c r="J588" s="7"/>
      <c r="K588" s="8"/>
      <c r="L588" s="8"/>
      <c r="M588" s="7"/>
      <c r="N588" s="7"/>
      <c r="O588" s="1012"/>
      <c r="P588" s="7"/>
      <c r="Q588" s="8"/>
      <c r="R588" s="685"/>
      <c r="S588" s="133"/>
      <c r="T588" s="133"/>
      <c r="U588" s="784"/>
      <c r="V588" s="8"/>
      <c r="W588" s="8"/>
      <c r="X588" s="8"/>
      <c r="Y588" s="8"/>
      <c r="Z588" s="8"/>
    </row>
    <row r="589" spans="1:26" s="1069" customFormat="1" ht="12" hidden="1" customHeight="1">
      <c r="A589" s="510" t="s">
        <v>466</v>
      </c>
      <c r="B589" s="773">
        <f>B588/12</f>
        <v>-666.31333333333316</v>
      </c>
      <c r="C589" s="29"/>
      <c r="D589" s="74" t="s">
        <v>585</v>
      </c>
      <c r="E589" s="1327">
        <v>6962.6399999999976</v>
      </c>
      <c r="F589" s="7"/>
      <c r="G589" s="133"/>
      <c r="H589" s="7"/>
      <c r="I589" s="7"/>
      <c r="J589" s="7"/>
      <c r="K589" s="404"/>
      <c r="L589" s="404"/>
      <c r="M589" s="7"/>
      <c r="N589" s="7"/>
      <c r="O589" s="1012"/>
      <c r="P589" s="7"/>
      <c r="Q589" s="8"/>
      <c r="R589" s="685"/>
      <c r="S589" s="133"/>
      <c r="T589" s="133"/>
      <c r="U589" s="784"/>
      <c r="V589" s="8"/>
      <c r="W589" s="8"/>
      <c r="X589" s="8"/>
      <c r="Y589" s="8"/>
      <c r="Z589" s="8"/>
    </row>
    <row r="590" spans="1:26" s="1090" customFormat="1" ht="12" hidden="1" customHeight="1">
      <c r="A590" s="10"/>
      <c r="B590" s="8"/>
      <c r="C590" s="31"/>
      <c r="D590" s="31"/>
      <c r="E590" s="8"/>
      <c r="F590" s="8"/>
      <c r="G590" s="132"/>
      <c r="H590" s="8"/>
      <c r="I590" s="8"/>
      <c r="J590" s="8"/>
      <c r="K590" s="404"/>
      <c r="L590" s="404"/>
      <c r="M590" s="8"/>
      <c r="N590" s="8"/>
      <c r="O590" s="1015"/>
      <c r="P590" s="8"/>
      <c r="Q590" s="8"/>
      <c r="R590" s="685"/>
      <c r="S590" s="132"/>
      <c r="T590" s="132"/>
      <c r="U590" s="13"/>
      <c r="V590" s="8"/>
      <c r="W590" s="8"/>
      <c r="X590" s="8"/>
      <c r="Y590" s="8"/>
      <c r="Z590" s="8"/>
    </row>
    <row r="591" spans="1:26" s="973" customFormat="1" ht="12" hidden="1" customHeight="1">
      <c r="A591" s="10"/>
      <c r="B591" s="8"/>
      <c r="C591" s="34"/>
      <c r="D591" s="34"/>
      <c r="E591" s="8"/>
      <c r="F591" s="8"/>
      <c r="G591" s="132"/>
      <c r="H591" s="8"/>
      <c r="I591" s="8"/>
      <c r="J591" s="8"/>
      <c r="K591" s="404"/>
      <c r="L591" s="404"/>
      <c r="M591" s="8"/>
      <c r="N591" s="49"/>
      <c r="O591" s="1035"/>
      <c r="P591" s="8"/>
      <c r="Q591" s="8"/>
      <c r="R591" s="685"/>
      <c r="S591" s="132"/>
      <c r="T591" s="132"/>
      <c r="U591" s="13"/>
      <c r="V591" s="8"/>
      <c r="W591" s="8"/>
      <c r="X591" s="8"/>
      <c r="Y591" s="8"/>
      <c r="Z591" s="8"/>
    </row>
    <row r="592" spans="1:26" s="115" customFormat="1" ht="12" hidden="1" customHeight="1">
      <c r="A592" s="10"/>
      <c r="B592" s="8"/>
      <c r="C592" s="34"/>
      <c r="D592" s="34"/>
      <c r="E592" s="8"/>
      <c r="F592" s="8"/>
      <c r="G592" s="132"/>
      <c r="H592" s="8"/>
      <c r="I592" s="8"/>
      <c r="J592" s="8"/>
      <c r="K592" s="404"/>
      <c r="L592" s="404"/>
      <c r="M592" s="8"/>
      <c r="N592" s="462"/>
      <c r="O592" s="1035"/>
      <c r="P592" s="8"/>
      <c r="Q592" s="8"/>
      <c r="R592" s="685"/>
      <c r="S592" s="132"/>
      <c r="T592" s="132"/>
      <c r="U592" s="13"/>
      <c r="V592" s="8"/>
      <c r="W592" s="8"/>
      <c r="X592" s="8"/>
      <c r="Y592" s="8"/>
      <c r="Z592" s="8"/>
    </row>
    <row r="593" spans="1:26" s="115" customFormat="1" ht="12" hidden="1" customHeight="1">
      <c r="A593" s="9" t="s">
        <v>1936</v>
      </c>
      <c r="B593" s="856"/>
      <c r="C593" s="856"/>
      <c r="D593" s="856"/>
      <c r="E593" s="856"/>
      <c r="F593" s="856"/>
      <c r="G593" s="857"/>
      <c r="H593" s="856"/>
      <c r="I593" s="856"/>
      <c r="J593" s="856"/>
      <c r="K593" s="856"/>
      <c r="L593" s="856"/>
      <c r="M593" s="856"/>
      <c r="N593" s="856"/>
      <c r="O593" s="1032"/>
      <c r="P593" s="856"/>
      <c r="Q593" s="856"/>
      <c r="R593" s="890"/>
      <c r="S593" s="857"/>
      <c r="T593" s="857"/>
      <c r="U593" s="858"/>
      <c r="V593" s="856"/>
      <c r="W593" s="856"/>
      <c r="X593" s="856"/>
      <c r="Y593" s="856"/>
      <c r="Z593" s="856"/>
    </row>
    <row r="594" spans="1:26" s="1090" customFormat="1" ht="12" hidden="1" customHeight="1">
      <c r="A594" s="10"/>
      <c r="B594" s="8"/>
      <c r="C594" s="31"/>
      <c r="D594" s="31"/>
      <c r="E594" s="8"/>
      <c r="F594" s="8"/>
      <c r="G594" s="132"/>
      <c r="H594" s="8"/>
      <c r="I594" s="8"/>
      <c r="J594" s="8"/>
      <c r="K594" s="8"/>
      <c r="L594" s="8"/>
      <c r="M594" s="8"/>
      <c r="N594" s="49"/>
      <c r="O594" s="1014"/>
      <c r="P594" s="8"/>
      <c r="Q594" s="8"/>
      <c r="R594" s="685"/>
      <c r="S594" s="132"/>
      <c r="T594" s="132"/>
      <c r="U594" s="85"/>
      <c r="V594" s="86"/>
      <c r="W594" s="8"/>
      <c r="X594" s="8"/>
      <c r="Y594" s="8"/>
      <c r="Z594" s="8"/>
    </row>
    <row r="595" spans="1:26" s="689" customFormat="1" ht="12" hidden="1" customHeight="1">
      <c r="A595" s="8"/>
      <c r="B595" s="8"/>
      <c r="C595" s="31"/>
      <c r="D595" s="31"/>
      <c r="E595" s="8"/>
      <c r="F595" s="8"/>
      <c r="G595" s="132"/>
      <c r="H595" s="8"/>
      <c r="I595" s="8"/>
      <c r="J595" s="8"/>
      <c r="K595" s="8"/>
      <c r="L595" s="8"/>
      <c r="M595" s="8"/>
      <c r="N595" s="49"/>
      <c r="O595" s="1014"/>
      <c r="P595" s="8"/>
      <c r="Q595" s="8"/>
      <c r="R595" s="685"/>
      <c r="S595" s="132"/>
      <c r="T595" s="132"/>
      <c r="U595" s="603"/>
      <c r="V595" s="8"/>
      <c r="W595" s="8"/>
      <c r="X595" s="8"/>
      <c r="Y595" s="8"/>
      <c r="Z595" s="8"/>
    </row>
    <row r="596" spans="1:26" s="1052" customFormat="1" ht="12" hidden="1" customHeight="1">
      <c r="A596" s="10"/>
      <c r="B596" s="8"/>
      <c r="C596" s="31"/>
      <c r="D596" s="31"/>
      <c r="E596" s="8"/>
      <c r="F596" s="8"/>
      <c r="G596" s="132"/>
      <c r="H596" s="8"/>
      <c r="I596" s="8"/>
      <c r="J596" s="8"/>
      <c r="K596" s="8"/>
      <c r="L596" s="8"/>
      <c r="M596" s="8"/>
      <c r="N596" s="49"/>
      <c r="O596" s="1014"/>
      <c r="P596" s="8"/>
      <c r="Q596" s="8"/>
      <c r="R596" s="685"/>
      <c r="S596" s="132"/>
      <c r="T596" s="132"/>
      <c r="U596" s="85"/>
      <c r="V596" s="8"/>
      <c r="W596" s="8"/>
      <c r="X596" s="8"/>
      <c r="Y596" s="8"/>
      <c r="Z596" s="8"/>
    </row>
    <row r="597" spans="1:26" s="689" customFormat="1" ht="12" hidden="1" customHeight="1">
      <c r="A597" s="8"/>
      <c r="B597" s="8"/>
      <c r="C597" s="31"/>
      <c r="D597" s="31"/>
      <c r="E597" s="8"/>
      <c r="F597" s="8"/>
      <c r="G597" s="132"/>
      <c r="H597" s="404"/>
      <c r="I597" s="457"/>
      <c r="J597" s="457"/>
      <c r="K597" s="457"/>
      <c r="L597" s="457"/>
      <c r="M597" s="457"/>
      <c r="N597" s="462"/>
      <c r="O597" s="1014"/>
      <c r="P597" s="8"/>
      <c r="Q597" s="8"/>
      <c r="R597" s="685"/>
      <c r="S597" s="132"/>
      <c r="T597" s="132"/>
      <c r="U597" s="603"/>
      <c r="V597" s="86"/>
      <c r="W597" s="8"/>
      <c r="X597" s="8"/>
      <c r="Y597" s="8"/>
      <c r="Z597" s="8"/>
    </row>
    <row r="598" spans="1:26" s="446" customFormat="1" ht="13.2" hidden="1">
      <c r="A598" s="8"/>
      <c r="B598" s="8"/>
      <c r="C598" s="31"/>
      <c r="D598" s="31"/>
      <c r="E598" s="8"/>
      <c r="F598" s="8"/>
      <c r="G598" s="132"/>
      <c r="H598" s="7"/>
      <c r="I598" s="457"/>
      <c r="J598" s="457"/>
      <c r="K598" s="457"/>
      <c r="L598" s="457"/>
      <c r="M598" s="457"/>
      <c r="N598" s="869"/>
      <c r="O598" s="1014"/>
      <c r="P598" s="8"/>
      <c r="Q598" s="8"/>
      <c r="R598" s="685"/>
      <c r="S598" s="132"/>
      <c r="T598" s="132"/>
      <c r="U598" s="126"/>
      <c r="V598" s="86"/>
      <c r="W598" s="8"/>
      <c r="X598" s="8"/>
      <c r="Y598" s="8"/>
      <c r="Z598" s="8"/>
    </row>
    <row r="599" spans="1:26" s="1136" customFormat="1" ht="12" hidden="1" customHeight="1">
      <c r="A599" s="8"/>
      <c r="B599" s="8"/>
      <c r="C599" s="31"/>
      <c r="D599" s="31"/>
      <c r="E599" s="8"/>
      <c r="F599" s="8"/>
      <c r="G599" s="132"/>
      <c r="H599" s="7"/>
      <c r="I599" s="457"/>
      <c r="J599" s="457"/>
      <c r="K599" s="457"/>
      <c r="L599" s="457"/>
      <c r="M599" s="457"/>
      <c r="N599" s="462"/>
      <c r="O599" s="1014"/>
      <c r="P599" s="8"/>
      <c r="Q599" s="8"/>
      <c r="R599" s="685"/>
      <c r="S599" s="132"/>
      <c r="T599" s="132"/>
      <c r="U599" s="126"/>
      <c r="V599" s="86"/>
      <c r="W599" s="8"/>
      <c r="X599" s="8"/>
      <c r="Y599" s="8"/>
      <c r="Z599" s="8"/>
    </row>
    <row r="600" spans="1:26" s="1136" customFormat="1" ht="12" hidden="1" customHeight="1">
      <c r="A600" s="8"/>
      <c r="B600" s="8"/>
      <c r="C600" s="31"/>
      <c r="D600" s="31"/>
      <c r="E600" s="8"/>
      <c r="F600" s="8"/>
      <c r="G600" s="132"/>
      <c r="H600" s="8"/>
      <c r="I600" s="457"/>
      <c r="J600" s="457"/>
      <c r="K600" s="457"/>
      <c r="L600" s="457"/>
      <c r="M600" s="457"/>
      <c r="N600" s="462"/>
      <c r="O600" s="1014"/>
      <c r="P600" s="8"/>
      <c r="Q600" s="8"/>
      <c r="R600" s="685"/>
      <c r="S600" s="132"/>
      <c r="T600" s="132"/>
      <c r="U600" s="603"/>
      <c r="V600" s="8"/>
      <c r="W600" s="8"/>
      <c r="X600" s="8"/>
      <c r="Y600" s="8"/>
      <c r="Z600" s="8"/>
    </row>
    <row r="601" spans="1:26" s="408" customFormat="1" ht="12" hidden="1" customHeight="1">
      <c r="A601" s="8"/>
      <c r="B601" s="8"/>
      <c r="C601" s="8"/>
      <c r="D601" s="8"/>
      <c r="E601" s="8"/>
      <c r="F601" s="8"/>
      <c r="G601" s="132"/>
      <c r="H601" s="404"/>
      <c r="I601" s="457"/>
      <c r="J601" s="457"/>
      <c r="K601" s="457"/>
      <c r="L601" s="457"/>
      <c r="M601" s="457"/>
      <c r="N601" s="457"/>
      <c r="O601" s="1015"/>
      <c r="P601" s="8"/>
      <c r="Q601" s="8"/>
      <c r="R601" s="685"/>
      <c r="S601" s="132"/>
      <c r="T601" s="132"/>
      <c r="U601" s="8"/>
      <c r="V601" s="862"/>
      <c r="W601" s="8"/>
      <c r="X601" s="8"/>
      <c r="Y601" s="8"/>
      <c r="Z601" s="8"/>
    </row>
    <row r="602" spans="1:26" s="1136" customFormat="1" ht="12" hidden="1" customHeight="1">
      <c r="A602" s="7" t="s">
        <v>2015</v>
      </c>
      <c r="B602" s="1268">
        <f>SUM(O570:O600)</f>
        <v>-628</v>
      </c>
      <c r="C602" s="826">
        <f>B602/B559</f>
        <v>0.56182790889083734</v>
      </c>
      <c r="D602" s="9" t="s">
        <v>574</v>
      </c>
      <c r="E602" s="8"/>
      <c r="F602" s="7"/>
      <c r="G602" s="133"/>
      <c r="H602" s="49"/>
      <c r="I602" s="870"/>
      <c r="J602" s="870"/>
      <c r="K602" s="870"/>
      <c r="L602" s="871"/>
      <c r="M602" s="870"/>
      <c r="N602" s="870"/>
      <c r="O602" s="1012"/>
      <c r="P602" s="7"/>
      <c r="Q602" s="8"/>
      <c r="R602" s="685"/>
      <c r="S602" s="133"/>
      <c r="T602" s="133"/>
      <c r="U602" s="1361"/>
      <c r="V602" s="8"/>
      <c r="W602" s="8"/>
      <c r="X602" s="8"/>
      <c r="Y602" s="8"/>
      <c r="Z602" s="8"/>
    </row>
    <row r="603" spans="1:26" s="1136" customFormat="1" ht="12" hidden="1" customHeight="1">
      <c r="A603" s="7" t="s">
        <v>463</v>
      </c>
      <c r="B603" s="1274">
        <f>SUM(R570:R601)</f>
        <v>0</v>
      </c>
      <c r="C603" s="1292" t="e">
        <f>B602/B603</f>
        <v>#DIV/0!</v>
      </c>
      <c r="D603" s="1266" t="s">
        <v>575</v>
      </c>
      <c r="E603" s="8"/>
      <c r="F603" s="7"/>
      <c r="G603" s="133"/>
      <c r="H603" s="8"/>
      <c r="I603" s="870"/>
      <c r="J603" s="870"/>
      <c r="K603" s="872"/>
      <c r="L603" s="457"/>
      <c r="M603" s="870"/>
      <c r="N603" s="457"/>
      <c r="O603" s="1012"/>
      <c r="P603" s="7"/>
      <c r="Q603" s="8"/>
      <c r="R603" s="685"/>
      <c r="S603" s="133"/>
      <c r="T603" s="133"/>
      <c r="U603" s="1361"/>
      <c r="V603" s="8"/>
      <c r="W603" s="8"/>
      <c r="X603" s="8"/>
      <c r="Y603" s="8"/>
      <c r="Z603" s="8"/>
    </row>
    <row r="604" spans="1:26" s="1136" customFormat="1" ht="12" hidden="1" customHeight="1">
      <c r="A604" s="7"/>
      <c r="B604" s="7"/>
      <c r="C604" s="29"/>
      <c r="D604" s="1266" t="s">
        <v>576</v>
      </c>
      <c r="E604" s="8"/>
      <c r="F604" s="7"/>
      <c r="G604" s="133"/>
      <c r="H604" s="404"/>
      <c r="I604" s="870"/>
      <c r="J604" s="870"/>
      <c r="K604" s="872"/>
      <c r="L604" s="873"/>
      <c r="M604" s="870"/>
      <c r="N604" s="457"/>
      <c r="O604" s="1012"/>
      <c r="P604" s="7"/>
      <c r="Q604" s="8"/>
      <c r="R604" s="685"/>
      <c r="S604" s="133"/>
      <c r="T604" s="133"/>
      <c r="U604" s="784"/>
      <c r="V604" s="8"/>
      <c r="W604" s="8"/>
      <c r="X604" s="8"/>
      <c r="Y604" s="8"/>
      <c r="Z604" s="8"/>
    </row>
    <row r="605" spans="1:26" s="1136" customFormat="1" ht="12" hidden="1" customHeight="1">
      <c r="A605" s="7" t="s">
        <v>464</v>
      </c>
      <c r="B605" s="1277">
        <v>0</v>
      </c>
      <c r="C605" s="29"/>
      <c r="D605" s="1266" t="s">
        <v>1304</v>
      </c>
      <c r="E605" s="8"/>
      <c r="F605" s="7"/>
      <c r="G605" s="133"/>
      <c r="H605" s="404"/>
      <c r="I605" s="870"/>
      <c r="J605" s="870"/>
      <c r="K605" s="872"/>
      <c r="L605" s="872"/>
      <c r="M605" s="870"/>
      <c r="N605" s="457"/>
      <c r="O605" s="1015"/>
      <c r="P605" s="7"/>
      <c r="Q605" s="8"/>
      <c r="R605" s="685"/>
      <c r="S605" s="133"/>
      <c r="T605" s="133"/>
      <c r="U605" s="784"/>
      <c r="V605" s="8"/>
      <c r="W605" s="8"/>
      <c r="X605" s="8"/>
      <c r="Y605" s="8"/>
      <c r="Z605" s="8"/>
    </row>
    <row r="606" spans="1:26" s="1136" customFormat="1" ht="12" hidden="1" customHeight="1">
      <c r="A606" s="7" t="s">
        <v>574</v>
      </c>
      <c r="B606" s="1280">
        <f>E608</f>
        <v>6962.6399999999976</v>
      </c>
      <c r="C606" s="29"/>
      <c r="D606" s="1266" t="s">
        <v>577</v>
      </c>
      <c r="E606" s="8"/>
      <c r="F606" s="7"/>
      <c r="G606" s="133"/>
      <c r="H606" s="404"/>
      <c r="I606" s="7"/>
      <c r="J606" s="7"/>
      <c r="K606" s="49"/>
      <c r="L606" s="49"/>
      <c r="M606" s="7"/>
      <c r="N606" s="865"/>
      <c r="O606" s="1012"/>
      <c r="P606" s="7"/>
      <c r="Q606" s="8"/>
      <c r="R606" s="685"/>
      <c r="S606" s="133"/>
      <c r="T606" s="133"/>
      <c r="U606" s="784"/>
      <c r="V606" s="8"/>
      <c r="W606" s="8"/>
      <c r="X606" s="8"/>
      <c r="Y606" s="8"/>
      <c r="Z606" s="8"/>
    </row>
    <row r="607" spans="1:26" s="1148" customFormat="1" ht="12" hidden="1" customHeight="1">
      <c r="A607" s="510" t="s">
        <v>1534</v>
      </c>
      <c r="B607" s="773">
        <f>B602-B605-B606</f>
        <v>-7590.6399999999976</v>
      </c>
      <c r="C607" s="29"/>
      <c r="D607" s="1266" t="s">
        <v>578</v>
      </c>
      <c r="E607" s="8"/>
      <c r="F607" s="7"/>
      <c r="G607" s="133"/>
      <c r="H607" s="404"/>
      <c r="I607" s="7"/>
      <c r="J607" s="7"/>
      <c r="K607" s="8"/>
      <c r="L607" s="8"/>
      <c r="M607" s="7"/>
      <c r="N607" s="7"/>
      <c r="O607" s="1012"/>
      <c r="P607" s="7"/>
      <c r="Q607" s="8"/>
      <c r="R607" s="685"/>
      <c r="S607" s="133"/>
      <c r="T607" s="133"/>
      <c r="U607" s="784"/>
      <c r="V607" s="8"/>
      <c r="W607" s="8"/>
      <c r="X607" s="8"/>
      <c r="Y607" s="8"/>
      <c r="Z607" s="8"/>
    </row>
    <row r="608" spans="1:26" s="355" customFormat="1" ht="12" hidden="1" customHeight="1">
      <c r="A608" s="7" t="s">
        <v>466</v>
      </c>
      <c r="B608" s="773">
        <f>B607/12</f>
        <v>-632.55333333333317</v>
      </c>
      <c r="C608" s="29"/>
      <c r="D608" s="74" t="s">
        <v>585</v>
      </c>
      <c r="E608" s="1327">
        <v>6962.6399999999976</v>
      </c>
      <c r="F608" s="7"/>
      <c r="G608" s="133"/>
      <c r="H608" s="7"/>
      <c r="I608" s="7"/>
      <c r="J608" s="7"/>
      <c r="K608" s="404"/>
      <c r="L608" s="404"/>
      <c r="M608" s="7"/>
      <c r="N608" s="7"/>
      <c r="O608" s="1012"/>
      <c r="P608" s="7"/>
      <c r="Q608" s="8"/>
      <c r="R608" s="685"/>
      <c r="S608" s="133"/>
      <c r="T608" s="133"/>
      <c r="U608" s="7"/>
      <c r="V608" s="8"/>
      <c r="W608" s="8"/>
      <c r="X608" s="8"/>
      <c r="Y608" s="8"/>
      <c r="Z608" s="8"/>
    </row>
    <row r="609" spans="1:26" s="1136" customFormat="1" ht="12" hidden="1" customHeight="1">
      <c r="A609" s="8"/>
      <c r="B609" s="8"/>
      <c r="C609" s="34"/>
      <c r="D609" s="34"/>
      <c r="E609" s="8"/>
      <c r="F609" s="8"/>
      <c r="G609" s="132"/>
      <c r="H609" s="8"/>
      <c r="I609" s="8"/>
      <c r="J609" s="8"/>
      <c r="K609" s="15"/>
      <c r="L609" s="8"/>
      <c r="M609" s="8"/>
      <c r="N609" s="49"/>
      <c r="O609" s="1035"/>
      <c r="P609" s="8"/>
      <c r="Q609" s="8"/>
      <c r="R609" s="685"/>
      <c r="S609" s="132"/>
      <c r="T609" s="132"/>
      <c r="U609" s="8"/>
      <c r="V609" s="8"/>
      <c r="W609" s="8"/>
      <c r="X609" s="8"/>
      <c r="Y609" s="8"/>
      <c r="Z609" s="8"/>
    </row>
    <row r="610" spans="1:26" s="1003" customFormat="1" ht="12" hidden="1" customHeight="1">
      <c r="A610" s="8"/>
      <c r="B610" s="8"/>
      <c r="C610" s="34"/>
      <c r="D610" s="34"/>
      <c r="E610" s="8"/>
      <c r="F610" s="8"/>
      <c r="G610" s="132"/>
      <c r="H610" s="8"/>
      <c r="I610" s="8"/>
      <c r="J610" s="8"/>
      <c r="K610" s="15"/>
      <c r="L610" s="8"/>
      <c r="M610" s="8"/>
      <c r="N610" s="49"/>
      <c r="O610" s="1035"/>
      <c r="P610" s="8"/>
      <c r="Q610" s="8"/>
      <c r="R610" s="685"/>
      <c r="S610" s="132"/>
      <c r="T610" s="132"/>
      <c r="U610" s="8"/>
      <c r="V610" s="8"/>
      <c r="W610" s="8"/>
      <c r="X610" s="8"/>
      <c r="Y610" s="8"/>
      <c r="Z610" s="8"/>
    </row>
    <row r="611" spans="1:26" s="1213" customFormat="1" ht="12" hidden="1" customHeight="1">
      <c r="A611" s="8"/>
      <c r="B611" s="8"/>
      <c r="C611" s="34"/>
      <c r="D611" s="34"/>
      <c r="E611" s="8"/>
      <c r="F611" s="8"/>
      <c r="G611" s="132"/>
      <c r="H611" s="8"/>
      <c r="I611" s="8"/>
      <c r="J611" s="8"/>
      <c r="K611" s="15"/>
      <c r="L611" s="8"/>
      <c r="M611" s="8"/>
      <c r="N611" s="49"/>
      <c r="O611" s="1035"/>
      <c r="P611" s="8"/>
      <c r="Q611" s="8"/>
      <c r="R611" s="685"/>
      <c r="S611" s="132"/>
      <c r="T611" s="132"/>
      <c r="U611" s="8"/>
      <c r="V611" s="8"/>
      <c r="W611" s="8"/>
      <c r="X611" s="8"/>
      <c r="Y611" s="8"/>
      <c r="Z611" s="8"/>
    </row>
    <row r="612" spans="1:26" s="1136" customFormat="1" ht="12" hidden="1" customHeight="1">
      <c r="A612" s="10"/>
      <c r="B612" s="8"/>
      <c r="C612" s="34"/>
      <c r="D612" s="34"/>
      <c r="E612" s="8"/>
      <c r="F612" s="8"/>
      <c r="G612" s="132"/>
      <c r="H612" s="8"/>
      <c r="I612" s="8"/>
      <c r="J612" s="8"/>
      <c r="K612" s="15"/>
      <c r="L612" s="8"/>
      <c r="M612" s="8"/>
      <c r="N612" s="49"/>
      <c r="O612" s="1035"/>
      <c r="P612" s="8"/>
      <c r="Q612" s="8"/>
      <c r="R612" s="685"/>
      <c r="S612" s="132"/>
      <c r="T612" s="132"/>
      <c r="U612" s="13"/>
      <c r="V612" s="8"/>
      <c r="W612" s="8"/>
      <c r="X612" s="8"/>
      <c r="Y612" s="8"/>
      <c r="Z612" s="8"/>
    </row>
    <row r="613" spans="1:26" s="355" customFormat="1" ht="12" hidden="1" customHeight="1">
      <c r="A613" s="8"/>
      <c r="B613" s="8"/>
      <c r="C613" s="34"/>
      <c r="D613" s="34"/>
      <c r="E613" s="8"/>
      <c r="F613" s="8"/>
      <c r="G613" s="132"/>
      <c r="H613" s="8"/>
      <c r="I613" s="8"/>
      <c r="J613" s="8"/>
      <c r="K613" s="15"/>
      <c r="L613" s="8"/>
      <c r="M613" s="8"/>
      <c r="N613" s="49"/>
      <c r="O613" s="1035"/>
      <c r="P613" s="8"/>
      <c r="Q613" s="8"/>
      <c r="R613" s="685"/>
      <c r="S613" s="132"/>
      <c r="T613" s="132"/>
      <c r="U613" s="13"/>
      <c r="V613" s="8"/>
      <c r="W613" s="8"/>
      <c r="X613" s="8"/>
      <c r="Y613" s="8"/>
      <c r="Z613" s="8"/>
    </row>
    <row r="614" spans="1:26" ht="12" hidden="1" customHeight="1">
      <c r="C614" s="34"/>
      <c r="D614" s="34"/>
      <c r="K614" s="15"/>
      <c r="N614" s="49"/>
      <c r="O614" s="1035"/>
    </row>
    <row r="615" spans="1:26" ht="12" hidden="1" customHeight="1" thickBot="1">
      <c r="A615" s="9" t="s">
        <v>2240</v>
      </c>
      <c r="B615" s="856"/>
      <c r="C615" s="856"/>
      <c r="D615" s="856"/>
      <c r="E615" s="856"/>
      <c r="F615" s="856"/>
      <c r="G615" s="857"/>
      <c r="H615" s="856"/>
      <c r="I615" s="856"/>
      <c r="J615" s="856"/>
      <c r="K615" s="856"/>
      <c r="L615" s="856"/>
      <c r="M615" s="856"/>
      <c r="N615" s="856"/>
      <c r="O615" s="1032"/>
      <c r="P615" s="856"/>
      <c r="Q615" s="856"/>
      <c r="R615" s="890"/>
      <c r="S615" s="857"/>
      <c r="T615" s="857"/>
      <c r="U615" s="858"/>
      <c r="V615" s="856"/>
      <c r="W615" s="856"/>
      <c r="X615" s="856"/>
      <c r="Y615" s="856"/>
      <c r="Z615" s="856"/>
    </row>
    <row r="616" spans="1:26" s="407" customFormat="1" ht="12" hidden="1" customHeight="1" thickBot="1">
      <c r="A616" s="791"/>
      <c r="B616" s="1273"/>
      <c r="C616" s="856"/>
      <c r="D616" s="1312"/>
      <c r="E616" s="1273"/>
      <c r="F616" s="856"/>
      <c r="G616" s="857"/>
      <c r="H616" s="856"/>
      <c r="I616" s="856"/>
      <c r="J616" s="856"/>
      <c r="K616" s="856"/>
      <c r="L616" s="856"/>
      <c r="M616" s="856"/>
      <c r="N616" s="856"/>
      <c r="O616" s="1032"/>
      <c r="P616" s="856"/>
      <c r="Q616" s="856"/>
      <c r="R616" s="890"/>
      <c r="S616" s="857"/>
      <c r="T616" s="857"/>
      <c r="U616" s="1358"/>
      <c r="V616" s="856"/>
      <c r="W616" s="856"/>
      <c r="X616" s="856"/>
      <c r="Y616" s="856"/>
      <c r="Z616" s="856"/>
    </row>
    <row r="617" spans="1:26" s="407" customFormat="1" ht="12" hidden="1" customHeight="1" thickBot="1">
      <c r="A617" s="1262"/>
      <c r="B617" s="1289"/>
      <c r="C617" s="1303"/>
      <c r="D617" s="1267"/>
      <c r="E617" s="1285"/>
      <c r="F617" s="856"/>
      <c r="G617" s="857"/>
      <c r="H617" s="856"/>
      <c r="I617" s="856"/>
      <c r="J617" s="856"/>
      <c r="K617" s="856"/>
      <c r="L617" s="856"/>
      <c r="M617" s="856"/>
      <c r="N617" s="856"/>
      <c r="O617" s="1032"/>
      <c r="P617" s="856"/>
      <c r="Q617" s="856"/>
      <c r="R617" s="890"/>
      <c r="S617" s="857"/>
      <c r="T617" s="857"/>
      <c r="U617" s="1358"/>
      <c r="V617" s="856"/>
      <c r="W617" s="856"/>
      <c r="X617" s="856"/>
      <c r="Y617" s="856"/>
      <c r="Z617" s="856"/>
    </row>
    <row r="618" spans="1:26" s="407" customFormat="1" ht="12" hidden="1" customHeight="1" thickBot="1">
      <c r="A618" s="8"/>
      <c r="B618" s="8"/>
      <c r="C618" s="31"/>
      <c r="D618" s="654"/>
      <c r="E618" s="13"/>
      <c r="F618" s="8"/>
      <c r="G618" s="132"/>
      <c r="H618" s="8"/>
      <c r="I618" s="8"/>
      <c r="J618" s="8"/>
      <c r="K618" s="8"/>
      <c r="L618" s="8"/>
      <c r="M618" s="8"/>
      <c r="N618" s="8"/>
      <c r="O618" s="1015"/>
      <c r="P618" s="8"/>
      <c r="Q618" s="8"/>
      <c r="R618" s="685"/>
      <c r="S618" s="132"/>
      <c r="T618" s="132"/>
      <c r="U618" s="13"/>
      <c r="V618" s="8"/>
      <c r="W618" s="8"/>
      <c r="X618" s="8"/>
      <c r="Y618" s="8"/>
      <c r="Z618" s="8"/>
    </row>
    <row r="619" spans="1:26" s="407" customFormat="1" ht="12" hidden="1" customHeight="1" thickBot="1">
      <c r="A619" s="1244"/>
      <c r="B619" s="782"/>
      <c r="C619" s="31"/>
      <c r="D619" s="654"/>
      <c r="E619" s="13"/>
      <c r="F619" s="8"/>
      <c r="G619" s="132"/>
      <c r="H619" s="8"/>
      <c r="I619" s="8"/>
      <c r="J619" s="8"/>
      <c r="K619" s="8"/>
      <c r="L619" s="8"/>
      <c r="M619" s="8"/>
      <c r="N619" s="49"/>
      <c r="O619" s="1014"/>
      <c r="P619" s="8"/>
      <c r="Q619" s="8"/>
      <c r="R619" s="685"/>
      <c r="S619" s="132"/>
      <c r="T619" s="132"/>
      <c r="U619" s="85"/>
      <c r="V619" s="86"/>
      <c r="W619" s="8"/>
      <c r="X619" s="8"/>
      <c r="Y619" s="8"/>
      <c r="Z619" s="8"/>
    </row>
    <row r="620" spans="1:26" s="407" customFormat="1" ht="12" hidden="1" customHeight="1" thickBot="1">
      <c r="A620" s="1253"/>
      <c r="B620" s="1281"/>
      <c r="C620" s="31"/>
      <c r="D620" s="654"/>
      <c r="E620" s="13"/>
      <c r="F620" s="8"/>
      <c r="G620" s="132"/>
      <c r="H620" s="7"/>
      <c r="I620" s="457"/>
      <c r="J620" s="457"/>
      <c r="K620" s="457"/>
      <c r="L620" s="457"/>
      <c r="M620" s="457"/>
      <c r="N620" s="462"/>
      <c r="O620" s="1015"/>
      <c r="P620" s="8"/>
      <c r="Q620" s="8"/>
      <c r="R620" s="685"/>
      <c r="S620" s="132"/>
      <c r="T620" s="132"/>
      <c r="U620" s="85"/>
      <c r="V620" s="86"/>
      <c r="W620" s="8"/>
      <c r="X620" s="8"/>
      <c r="Y620" s="8"/>
      <c r="Z620" s="8"/>
    </row>
    <row r="621" spans="1:26" s="407" customFormat="1" ht="12" hidden="1" customHeight="1" thickBot="1">
      <c r="A621" s="10"/>
      <c r="B621" s="13"/>
      <c r="C621" s="31"/>
      <c r="D621" s="567"/>
      <c r="E621" s="541"/>
      <c r="F621" s="8"/>
      <c r="G621" s="132"/>
      <c r="H621" s="8"/>
      <c r="I621" s="457"/>
      <c r="J621" s="457"/>
      <c r="K621" s="457"/>
      <c r="L621" s="457"/>
      <c r="M621" s="457"/>
      <c r="N621" s="462"/>
      <c r="O621" s="1014"/>
      <c r="P621" s="8"/>
      <c r="Q621" s="8"/>
      <c r="R621" s="685"/>
      <c r="S621" s="132"/>
      <c r="T621" s="132"/>
      <c r="U621" s="85"/>
      <c r="V621" s="8"/>
      <c r="W621" s="8"/>
      <c r="X621" s="8"/>
      <c r="Y621" s="8"/>
      <c r="Z621" s="8"/>
    </row>
    <row r="622" spans="1:26" ht="12" hidden="1" customHeight="1" thickBot="1">
      <c r="A622" s="519"/>
      <c r="B622" s="541"/>
      <c r="C622" s="8"/>
      <c r="D622" s="519"/>
      <c r="E622" s="541"/>
      <c r="H622" s="404"/>
      <c r="I622" s="457"/>
      <c r="J622" s="457"/>
      <c r="K622" s="457"/>
      <c r="L622" s="457"/>
      <c r="M622" s="457"/>
      <c r="N622" s="457"/>
      <c r="U622" s="13"/>
      <c r="V622" s="862"/>
    </row>
    <row r="623" spans="1:26" ht="12" hidden="1" customHeight="1">
      <c r="A623" s="510" t="s">
        <v>2241</v>
      </c>
      <c r="B623" s="1268">
        <f>SUM(O598:O621)</f>
        <v>0</v>
      </c>
      <c r="C623" s="826" t="e">
        <f>B623/B582</f>
        <v>#DIV/0!</v>
      </c>
      <c r="D623" s="9" t="s">
        <v>574</v>
      </c>
      <c r="F623" s="7"/>
      <c r="G623" s="133"/>
      <c r="H623" s="49"/>
      <c r="I623" s="870"/>
      <c r="J623" s="870"/>
      <c r="K623" s="870"/>
      <c r="L623" s="871"/>
      <c r="M623" s="870"/>
      <c r="N623" s="870"/>
      <c r="O623" s="1012"/>
      <c r="P623" s="7"/>
      <c r="S623" s="133"/>
      <c r="T623" s="133"/>
      <c r="U623" s="1361"/>
    </row>
    <row r="624" spans="1:26" ht="12" hidden="1" customHeight="1">
      <c r="A624" s="510" t="s">
        <v>463</v>
      </c>
      <c r="B624" s="1270">
        <f>SUM(R598:R622)</f>
        <v>0</v>
      </c>
      <c r="C624" s="1292" t="e">
        <f>B623/B624</f>
        <v>#DIV/0!</v>
      </c>
      <c r="D624" s="1266" t="s">
        <v>575</v>
      </c>
      <c r="F624" s="7"/>
      <c r="G624" s="133"/>
      <c r="I624" s="870"/>
      <c r="J624" s="870"/>
      <c r="K624" s="872"/>
      <c r="L624" s="457"/>
      <c r="M624" s="870"/>
      <c r="N624" s="457"/>
      <c r="O624" s="1012"/>
      <c r="P624" s="7"/>
      <c r="S624" s="133"/>
      <c r="T624" s="133"/>
      <c r="U624" s="1361"/>
    </row>
    <row r="625" spans="1:26" ht="12" hidden="1" customHeight="1">
      <c r="A625" s="510"/>
      <c r="B625" s="7"/>
      <c r="C625" s="29"/>
      <c r="D625" s="1266" t="s">
        <v>576</v>
      </c>
      <c r="F625" s="7"/>
      <c r="G625" s="133"/>
      <c r="H625" s="404"/>
      <c r="I625" s="870"/>
      <c r="J625" s="870"/>
      <c r="K625" s="872"/>
      <c r="L625" s="873"/>
      <c r="M625" s="870"/>
      <c r="N625" s="457"/>
      <c r="O625" s="1012"/>
      <c r="P625" s="7"/>
      <c r="S625" s="133"/>
      <c r="T625" s="133"/>
      <c r="U625" s="784"/>
    </row>
    <row r="626" spans="1:26" ht="12" hidden="1" customHeight="1">
      <c r="A626" s="510" t="s">
        <v>464</v>
      </c>
      <c r="B626" s="1135">
        <v>0</v>
      </c>
      <c r="C626" s="29"/>
      <c r="D626" s="1266" t="s">
        <v>1304</v>
      </c>
      <c r="F626" s="7"/>
      <c r="G626" s="133"/>
      <c r="H626" s="404"/>
      <c r="I626" s="870"/>
      <c r="J626" s="870"/>
      <c r="K626" s="872"/>
      <c r="L626" s="872"/>
      <c r="M626" s="870"/>
      <c r="N626" s="457"/>
      <c r="P626" s="7"/>
      <c r="S626" s="133"/>
      <c r="T626" s="133"/>
      <c r="U626" s="784"/>
    </row>
    <row r="627" spans="1:26" ht="12" hidden="1" customHeight="1">
      <c r="A627" s="510" t="s">
        <v>574</v>
      </c>
      <c r="B627" s="1280">
        <f>E629</f>
        <v>6962.6399999999976</v>
      </c>
      <c r="C627" s="29"/>
      <c r="D627" s="1266" t="s">
        <v>577</v>
      </c>
      <c r="F627" s="7"/>
      <c r="G627" s="133"/>
      <c r="H627" s="404"/>
      <c r="I627" s="7"/>
      <c r="J627" s="7"/>
      <c r="K627" s="49"/>
      <c r="L627" s="49"/>
      <c r="M627" s="7"/>
      <c r="N627" s="865"/>
      <c r="O627" s="1012"/>
      <c r="P627" s="7"/>
      <c r="S627" s="133"/>
      <c r="T627" s="133"/>
      <c r="U627" s="784"/>
    </row>
    <row r="628" spans="1:26" ht="12" hidden="1" customHeight="1">
      <c r="A628" s="510" t="s">
        <v>1534</v>
      </c>
      <c r="B628" s="773">
        <f>B623-B626-B627</f>
        <v>-6962.6399999999976</v>
      </c>
      <c r="C628" s="29"/>
      <c r="D628" s="1266" t="s">
        <v>578</v>
      </c>
      <c r="F628" s="7"/>
      <c r="G628" s="133"/>
      <c r="H628" s="404"/>
      <c r="I628" s="7"/>
      <c r="J628" s="7"/>
      <c r="M628" s="7"/>
      <c r="N628" s="7"/>
      <c r="O628" s="1012"/>
      <c r="P628" s="7"/>
      <c r="S628" s="133"/>
      <c r="T628" s="133"/>
      <c r="U628" s="784"/>
    </row>
    <row r="629" spans="1:26" s="115" customFormat="1" hidden="1">
      <c r="A629" s="7" t="s">
        <v>466</v>
      </c>
      <c r="B629" s="773">
        <f>B628/12</f>
        <v>-580.2199999999998</v>
      </c>
      <c r="C629" s="29"/>
      <c r="D629" s="74" t="s">
        <v>585</v>
      </c>
      <c r="E629" s="1327">
        <v>6962.6399999999976</v>
      </c>
      <c r="F629" s="7"/>
      <c r="G629" s="133"/>
      <c r="H629" s="7"/>
      <c r="I629" s="7"/>
      <c r="J629" s="7"/>
      <c r="K629" s="404"/>
      <c r="L629" s="404"/>
      <c r="M629" s="7"/>
      <c r="N629" s="7"/>
      <c r="O629" s="1012"/>
      <c r="P629" s="7"/>
      <c r="Q629" s="8"/>
      <c r="R629" s="685"/>
      <c r="S629" s="133"/>
      <c r="T629" s="133"/>
      <c r="U629" s="7"/>
      <c r="V629" s="8"/>
      <c r="W629" s="8"/>
      <c r="X629" s="8"/>
      <c r="Y629" s="8"/>
      <c r="Z629" s="8"/>
    </row>
    <row r="630" spans="1:26" s="383" customFormat="1" hidden="1">
      <c r="A630" s="8"/>
      <c r="B630" s="8"/>
      <c r="C630" s="34"/>
      <c r="D630" s="34"/>
      <c r="E630" s="8"/>
      <c r="F630" s="8"/>
      <c r="G630" s="132"/>
      <c r="H630" s="8"/>
      <c r="I630" s="8"/>
      <c r="J630" s="8"/>
      <c r="K630" s="15"/>
      <c r="L630" s="8"/>
      <c r="M630" s="8"/>
      <c r="N630" s="49"/>
      <c r="O630" s="1035"/>
      <c r="P630" s="8"/>
      <c r="Q630" s="8"/>
      <c r="R630" s="685"/>
      <c r="S630" s="132"/>
      <c r="T630" s="132"/>
      <c r="U630" s="8"/>
      <c r="V630" s="8"/>
      <c r="W630" s="8"/>
      <c r="X630" s="8"/>
      <c r="Y630" s="8"/>
      <c r="Z630" s="8"/>
    </row>
    <row r="631" spans="1:26" s="115" customFormat="1" ht="12" hidden="1" customHeight="1">
      <c r="A631" s="8"/>
      <c r="B631" s="8"/>
      <c r="C631" s="34"/>
      <c r="D631" s="34"/>
      <c r="E631" s="8"/>
      <c r="F631" s="8"/>
      <c r="G631" s="132"/>
      <c r="H631" s="8"/>
      <c r="I631" s="8"/>
      <c r="J631" s="8"/>
      <c r="K631" s="15"/>
      <c r="L631" s="8"/>
      <c r="M631" s="8"/>
      <c r="N631" s="49"/>
      <c r="O631" s="1035"/>
      <c r="P631" s="8"/>
      <c r="Q631" s="8"/>
      <c r="R631" s="685"/>
      <c r="S631" s="132"/>
      <c r="T631" s="132"/>
      <c r="U631" s="8"/>
      <c r="V631" s="8"/>
      <c r="W631" s="8"/>
      <c r="X631" s="8"/>
      <c r="Y631" s="8"/>
      <c r="Z631" s="8"/>
    </row>
    <row r="632" spans="1:26" s="115" customFormat="1" ht="12" hidden="1" customHeight="1">
      <c r="A632" s="8"/>
      <c r="B632" s="8"/>
      <c r="C632" s="34"/>
      <c r="D632" s="34"/>
      <c r="E632" s="8"/>
      <c r="F632" s="8"/>
      <c r="G632" s="132"/>
      <c r="H632" s="8"/>
      <c r="I632" s="8"/>
      <c r="J632" s="8"/>
      <c r="K632" s="15"/>
      <c r="L632" s="8"/>
      <c r="M632" s="8"/>
      <c r="N632" s="49"/>
      <c r="O632" s="1035"/>
      <c r="P632" s="8"/>
      <c r="Q632" s="8"/>
      <c r="R632" s="685"/>
      <c r="S632" s="132"/>
      <c r="T632" s="132"/>
      <c r="U632" s="8"/>
      <c r="V632" s="8"/>
      <c r="W632" s="8"/>
      <c r="X632" s="8"/>
      <c r="Y632" s="8"/>
      <c r="Z632" s="8"/>
    </row>
    <row r="633" spans="1:26" s="115" customFormat="1" ht="12" hidden="1" customHeight="1">
      <c r="A633" s="8"/>
      <c r="B633" s="8"/>
      <c r="C633" s="34"/>
      <c r="D633" s="34"/>
      <c r="E633" s="8"/>
      <c r="F633" s="8"/>
      <c r="G633" s="132"/>
      <c r="H633" s="8"/>
      <c r="I633" s="8"/>
      <c r="J633" s="8"/>
      <c r="K633" s="15"/>
      <c r="L633" s="8"/>
      <c r="M633" s="8"/>
      <c r="N633" s="49"/>
      <c r="O633" s="1035"/>
      <c r="P633" s="8"/>
      <c r="Q633" s="8"/>
      <c r="R633" s="685"/>
      <c r="S633" s="132"/>
      <c r="T633" s="132"/>
      <c r="U633" s="8"/>
      <c r="V633" s="8"/>
      <c r="W633" s="8"/>
      <c r="X633" s="8"/>
      <c r="Y633" s="8"/>
      <c r="Z633" s="8"/>
    </row>
    <row r="634" spans="1:26" s="923" customFormat="1" ht="12" hidden="1" customHeight="1">
      <c r="A634" s="10"/>
      <c r="B634" s="8"/>
      <c r="C634" s="34"/>
      <c r="D634" s="34"/>
      <c r="E634" s="8"/>
      <c r="F634" s="8"/>
      <c r="G634" s="132"/>
      <c r="H634" s="8"/>
      <c r="I634" s="8"/>
      <c r="J634" s="8"/>
      <c r="K634" s="15"/>
      <c r="L634" s="8"/>
      <c r="M634" s="8"/>
      <c r="N634" s="49"/>
      <c r="O634" s="1035"/>
      <c r="P634" s="8"/>
      <c r="Q634" s="8"/>
      <c r="R634" s="685"/>
      <c r="S634" s="132"/>
      <c r="T634" s="132"/>
      <c r="U634" s="13"/>
      <c r="V634" s="8"/>
      <c r="W634" s="8"/>
      <c r="X634" s="8"/>
      <c r="Y634" s="8"/>
      <c r="Z634" s="8"/>
    </row>
    <row r="635" spans="1:26" s="1233" customFormat="1" ht="12" hidden="1" customHeight="1">
      <c r="A635" s="10"/>
      <c r="B635" s="8"/>
      <c r="C635" s="34"/>
      <c r="D635" s="34"/>
      <c r="E635" s="8"/>
      <c r="F635" s="8"/>
      <c r="G635" s="132"/>
      <c r="H635" s="8"/>
      <c r="I635" s="8"/>
      <c r="J635" s="8"/>
      <c r="K635" s="15"/>
      <c r="L635" s="8"/>
      <c r="M635" s="8"/>
      <c r="N635" s="49"/>
      <c r="O635" s="1035"/>
      <c r="P635" s="8"/>
      <c r="Q635" s="8"/>
      <c r="R635" s="685"/>
      <c r="S635" s="132"/>
      <c r="T635" s="132"/>
      <c r="U635" s="13"/>
      <c r="V635" s="8"/>
      <c r="W635" s="8"/>
      <c r="X635" s="8"/>
      <c r="Y635" s="8"/>
      <c r="Z635" s="8"/>
    </row>
    <row r="636" spans="1:26" s="923" customFormat="1" ht="12" hidden="1" customHeight="1">
      <c r="A636" s="10"/>
      <c r="B636" s="8"/>
      <c r="C636" s="34"/>
      <c r="D636" s="34"/>
      <c r="E636" s="8"/>
      <c r="F636" s="8"/>
      <c r="G636" s="132"/>
      <c r="H636" s="8"/>
      <c r="I636" s="8"/>
      <c r="J636" s="8"/>
      <c r="K636" s="15"/>
      <c r="L636" s="8"/>
      <c r="M636" s="8"/>
      <c r="N636" s="49"/>
      <c r="O636" s="1035"/>
      <c r="P636" s="8"/>
      <c r="Q636" s="8"/>
      <c r="R636" s="685"/>
      <c r="S636" s="132"/>
      <c r="T636" s="132"/>
      <c r="U636" s="13"/>
      <c r="V636" s="8"/>
      <c r="W636" s="8"/>
      <c r="X636" s="8"/>
      <c r="Y636" s="8"/>
      <c r="Z636" s="8"/>
    </row>
    <row r="637" spans="1:26" s="923" customFormat="1" ht="12" hidden="1" customHeight="1">
      <c r="A637" s="10"/>
      <c r="B637" s="8"/>
      <c r="C637" s="34"/>
      <c r="D637" s="34"/>
      <c r="E637" s="8"/>
      <c r="F637" s="8"/>
      <c r="G637" s="132"/>
      <c r="H637" s="8"/>
      <c r="I637" s="8"/>
      <c r="J637" s="8"/>
      <c r="K637" s="15"/>
      <c r="L637" s="8"/>
      <c r="M637" s="8"/>
      <c r="N637" s="49"/>
      <c r="O637" s="1035"/>
      <c r="P637" s="8"/>
      <c r="Q637" s="8"/>
      <c r="R637" s="685"/>
      <c r="S637" s="132"/>
      <c r="T637" s="132"/>
      <c r="U637" s="13"/>
      <c r="V637" s="8"/>
      <c r="W637" s="8"/>
      <c r="X637" s="8"/>
      <c r="Y637" s="8"/>
      <c r="Z637" s="8"/>
    </row>
    <row r="638" spans="1:26" s="115" customFormat="1" ht="12" hidden="1" customHeight="1">
      <c r="A638" s="10"/>
      <c r="B638" s="8"/>
      <c r="C638" s="34"/>
      <c r="D638" s="34"/>
      <c r="E638" s="8"/>
      <c r="F638" s="8"/>
      <c r="G638" s="132"/>
      <c r="H638" s="8"/>
      <c r="I638" s="8"/>
      <c r="J638" s="8"/>
      <c r="K638" s="15"/>
      <c r="L638" s="8"/>
      <c r="M638" s="8"/>
      <c r="N638" s="49"/>
      <c r="O638" s="1035"/>
      <c r="P638" s="8"/>
      <c r="Q638" s="8"/>
      <c r="R638" s="685"/>
      <c r="S638" s="132"/>
      <c r="T638" s="132"/>
      <c r="U638" s="13"/>
      <c r="V638" s="8"/>
      <c r="W638" s="8"/>
      <c r="X638" s="8"/>
      <c r="Y638" s="8"/>
      <c r="Z638" s="8"/>
    </row>
    <row r="639" spans="1:26" s="115" customFormat="1" ht="12" hidden="1" customHeight="1">
      <c r="A639" s="510" t="s">
        <v>2546</v>
      </c>
      <c r="B639" s="689" t="s">
        <v>2547</v>
      </c>
      <c r="C639" s="34"/>
      <c r="D639" s="34"/>
      <c r="E639" s="8"/>
      <c r="F639" s="8"/>
      <c r="G639" s="132"/>
      <c r="H639" s="8"/>
      <c r="I639" s="8"/>
      <c r="J639" s="8"/>
      <c r="K639" s="15"/>
      <c r="L639" s="8"/>
      <c r="M639" s="8"/>
      <c r="N639" s="49"/>
      <c r="O639" s="1035"/>
      <c r="P639" s="8"/>
      <c r="Q639" s="8"/>
      <c r="R639" s="685"/>
      <c r="S639" s="132"/>
      <c r="T639" s="132"/>
      <c r="U639" s="13"/>
      <c r="V639" s="8"/>
      <c r="W639" s="8"/>
      <c r="X639" s="8"/>
      <c r="Y639" s="8"/>
      <c r="Z639" s="8"/>
    </row>
    <row r="640" spans="1:26" s="115" customFormat="1" ht="12" hidden="1" customHeight="1">
      <c r="A640" s="8"/>
      <c r="B640" s="8"/>
      <c r="C640" s="34"/>
      <c r="D640" s="34"/>
      <c r="E640" s="8"/>
      <c r="F640" s="8"/>
      <c r="G640" s="132"/>
      <c r="H640" s="8"/>
      <c r="I640" s="8"/>
      <c r="J640" s="8"/>
      <c r="K640" s="15"/>
      <c r="L640" s="8"/>
      <c r="M640" s="8"/>
      <c r="N640" s="49"/>
      <c r="O640" s="1035"/>
      <c r="P640" s="8"/>
      <c r="Q640" s="8"/>
      <c r="R640" s="685"/>
      <c r="S640" s="132"/>
      <c r="T640" s="132"/>
      <c r="U640" s="8"/>
      <c r="V640" s="8"/>
      <c r="W640" s="8"/>
      <c r="X640" s="8"/>
      <c r="Y640" s="8"/>
      <c r="Z640" s="8"/>
    </row>
    <row r="641" spans="1:26" s="1104" customFormat="1" ht="12" hidden="1" customHeight="1">
      <c r="A641" s="10"/>
      <c r="B641" s="8"/>
      <c r="C641" s="34"/>
      <c r="D641" s="34"/>
      <c r="E641" s="8"/>
      <c r="F641" s="8"/>
      <c r="G641" s="132"/>
      <c r="H641" s="8"/>
      <c r="I641" s="8"/>
      <c r="J641" s="8"/>
      <c r="K641" s="15"/>
      <c r="L641" s="8"/>
      <c r="M641" s="8"/>
      <c r="N641" s="49"/>
      <c r="O641" s="1035"/>
      <c r="P641" s="8"/>
      <c r="Q641" s="8"/>
      <c r="R641" s="685"/>
      <c r="S641" s="132"/>
      <c r="T641" s="132"/>
      <c r="U641" s="919"/>
      <c r="V641" s="8"/>
      <c r="W641" s="8"/>
      <c r="X641" s="8"/>
      <c r="Y641" s="8"/>
      <c r="Z641" s="8"/>
    </row>
    <row r="642" spans="1:26" s="115" customFormat="1" ht="12" hidden="1" customHeight="1">
      <c r="A642" s="7" t="s">
        <v>2693</v>
      </c>
      <c r="B642" s="1268">
        <f>SUM(O615:O640)</f>
        <v>0</v>
      </c>
      <c r="C642" s="826" t="e">
        <f>B642/B598</f>
        <v>#DIV/0!</v>
      </c>
      <c r="D642" s="9" t="s">
        <v>574</v>
      </c>
      <c r="E642" s="8"/>
      <c r="F642" s="7"/>
      <c r="G642" s="133"/>
      <c r="H642" s="49"/>
      <c r="I642" s="870"/>
      <c r="J642" s="870"/>
      <c r="K642" s="870"/>
      <c r="L642" s="871"/>
      <c r="M642" s="870"/>
      <c r="N642" s="870"/>
      <c r="O642" s="1012"/>
      <c r="P642" s="7"/>
      <c r="Q642" s="8"/>
      <c r="R642" s="685"/>
      <c r="S642" s="133"/>
      <c r="T642" s="133"/>
      <c r="U642" s="920"/>
      <c r="V642" s="8"/>
      <c r="W642" s="8"/>
      <c r="X642" s="8"/>
      <c r="Y642" s="8"/>
      <c r="Z642" s="8"/>
    </row>
    <row r="643" spans="1:26" ht="12" hidden="1" customHeight="1">
      <c r="A643" s="7" t="s">
        <v>463</v>
      </c>
      <c r="B643" s="1270">
        <f>SUM(R601:R641)</f>
        <v>0</v>
      </c>
      <c r="C643" s="1292" t="e">
        <f>B642/B643</f>
        <v>#DIV/0!</v>
      </c>
      <c r="D643" s="1266" t="s">
        <v>575</v>
      </c>
      <c r="F643" s="7"/>
      <c r="G643" s="133"/>
      <c r="I643" s="870"/>
      <c r="J643" s="870"/>
      <c r="K643" s="872"/>
      <c r="L643" s="457"/>
      <c r="M643" s="870"/>
      <c r="N643" s="457"/>
      <c r="O643" s="1012"/>
      <c r="P643" s="7"/>
      <c r="S643" s="133"/>
      <c r="T643" s="133"/>
      <c r="U643" s="920"/>
    </row>
    <row r="644" spans="1:26" s="115" customFormat="1" ht="12" hidden="1" customHeight="1">
      <c r="A644" s="7"/>
      <c r="B644" s="7"/>
      <c r="C644" s="29"/>
      <c r="D644" s="1266" t="s">
        <v>576</v>
      </c>
      <c r="E644" s="8"/>
      <c r="F644" s="7"/>
      <c r="G644" s="133"/>
      <c r="H644" s="404"/>
      <c r="I644" s="870"/>
      <c r="J644" s="870"/>
      <c r="K644" s="872"/>
      <c r="L644" s="873"/>
      <c r="M644" s="870"/>
      <c r="N644" s="457"/>
      <c r="O644" s="1012"/>
      <c r="P644" s="7"/>
      <c r="Q644" s="8"/>
      <c r="R644" s="685"/>
      <c r="S644" s="133"/>
      <c r="T644" s="133"/>
      <c r="U644" s="870"/>
      <c r="V644" s="8"/>
      <c r="W644" s="8"/>
      <c r="X644" s="8"/>
      <c r="Y644" s="8"/>
      <c r="Z644" s="8"/>
    </row>
    <row r="645" spans="1:26" ht="12" hidden="1" customHeight="1">
      <c r="A645" s="7" t="s">
        <v>464</v>
      </c>
      <c r="B645" s="1135">
        <v>0</v>
      </c>
      <c r="C645" s="29"/>
      <c r="D645" s="1266" t="s">
        <v>1304</v>
      </c>
      <c r="F645" s="7"/>
      <c r="G645" s="133"/>
      <c r="H645" s="404"/>
      <c r="I645" s="870"/>
      <c r="J645" s="870"/>
      <c r="K645" s="872"/>
      <c r="L645" s="872"/>
      <c r="M645" s="870"/>
      <c r="N645" s="457"/>
      <c r="P645" s="7"/>
      <c r="S645" s="133"/>
      <c r="T645" s="133"/>
      <c r="U645" s="870"/>
    </row>
    <row r="646" spans="1:26" s="407" customFormat="1" ht="12" hidden="1" customHeight="1" thickBot="1">
      <c r="A646" s="7" t="s">
        <v>574</v>
      </c>
      <c r="B646" s="1280">
        <f>E648</f>
        <v>6962.6399999999976</v>
      </c>
      <c r="C646" s="29"/>
      <c r="D646" s="1266" t="s">
        <v>577</v>
      </c>
      <c r="E646" s="8"/>
      <c r="F646" s="7"/>
      <c r="G646" s="133"/>
      <c r="H646" s="404"/>
      <c r="I646" s="7"/>
      <c r="J646" s="7"/>
      <c r="K646" s="49"/>
      <c r="L646" s="49"/>
      <c r="M646" s="7"/>
      <c r="N646" s="865"/>
      <c r="O646" s="1012"/>
      <c r="P646" s="7"/>
      <c r="Q646" s="8"/>
      <c r="R646" s="685"/>
      <c r="S646" s="133"/>
      <c r="T646" s="133"/>
      <c r="U646" s="1383"/>
      <c r="V646" s="8"/>
      <c r="W646" s="8"/>
      <c r="X646" s="8"/>
      <c r="Y646" s="8"/>
      <c r="Z646" s="8"/>
    </row>
    <row r="647" spans="1:26" s="407" customFormat="1" ht="12" hidden="1" customHeight="1" thickBot="1">
      <c r="A647" s="18" t="s">
        <v>1534</v>
      </c>
      <c r="B647" s="799">
        <f>B642-B645-B646</f>
        <v>-6962.6399999999976</v>
      </c>
      <c r="C647" s="29"/>
      <c r="D647" s="1311" t="s">
        <v>578</v>
      </c>
      <c r="E647" s="782"/>
      <c r="F647" s="7"/>
      <c r="G647" s="133"/>
      <c r="H647" s="404"/>
      <c r="I647" s="7"/>
      <c r="J647" s="7"/>
      <c r="K647" s="8"/>
      <c r="L647" s="8"/>
      <c r="M647" s="7"/>
      <c r="N647" s="7"/>
      <c r="O647" s="1012"/>
      <c r="P647" s="7"/>
      <c r="Q647" s="8"/>
      <c r="R647" s="685"/>
      <c r="S647" s="133"/>
      <c r="T647" s="133"/>
      <c r="U647" s="1383"/>
      <c r="V647" s="8"/>
      <c r="W647" s="8"/>
      <c r="X647" s="8"/>
      <c r="Y647" s="8"/>
      <c r="Z647" s="8"/>
    </row>
    <row r="648" spans="1:26" s="407" customFormat="1" ht="12" hidden="1" customHeight="1" thickBot="1">
      <c r="A648" s="768" t="s">
        <v>466</v>
      </c>
      <c r="B648" s="800">
        <f>B647/12</f>
        <v>-580.2199999999998</v>
      </c>
      <c r="C648" s="1295"/>
      <c r="D648" s="1313" t="s">
        <v>585</v>
      </c>
      <c r="E648" s="1332">
        <v>6962.6399999999976</v>
      </c>
      <c r="F648" s="7"/>
      <c r="G648" s="133"/>
      <c r="H648" s="7"/>
      <c r="I648" s="7"/>
      <c r="J648" s="7"/>
      <c r="K648" s="404"/>
      <c r="L648" s="404"/>
      <c r="M648" s="7"/>
      <c r="N648" s="7"/>
      <c r="O648" s="1012"/>
      <c r="P648" s="7"/>
      <c r="Q648" s="8"/>
      <c r="R648" s="685"/>
      <c r="S648" s="133"/>
      <c r="T648" s="133"/>
      <c r="U648" s="1383"/>
      <c r="V648" s="8"/>
      <c r="W648" s="8"/>
      <c r="X648" s="8"/>
      <c r="Y648" s="8"/>
      <c r="Z648" s="8"/>
    </row>
    <row r="649" spans="1:26" s="407" customFormat="1" ht="12" hidden="1" customHeight="1" thickBot="1">
      <c r="A649" s="8"/>
      <c r="B649" s="8"/>
      <c r="C649" s="34"/>
      <c r="D649" s="1308"/>
      <c r="E649" s="13"/>
      <c r="F649" s="8"/>
      <c r="G649" s="132"/>
      <c r="H649" s="8"/>
      <c r="I649" s="8"/>
      <c r="J649" s="8"/>
      <c r="K649" s="15"/>
      <c r="L649" s="8"/>
      <c r="M649" s="8"/>
      <c r="N649" s="49"/>
      <c r="O649" s="1035"/>
      <c r="P649" s="8"/>
      <c r="Q649" s="8"/>
      <c r="R649" s="685"/>
      <c r="S649" s="132"/>
      <c r="T649" s="132"/>
      <c r="U649" s="919"/>
      <c r="V649" s="8"/>
      <c r="W649" s="8"/>
      <c r="X649" s="8"/>
      <c r="Y649" s="8"/>
      <c r="Z649" s="8"/>
    </row>
    <row r="650" spans="1:26" s="407" customFormat="1" ht="12" hidden="1" customHeight="1" thickBot="1">
      <c r="A650" s="1244"/>
      <c r="B650" s="782"/>
      <c r="C650" s="34"/>
      <c r="D650" s="1308"/>
      <c r="E650" s="13"/>
      <c r="F650" s="8"/>
      <c r="G650" s="132"/>
      <c r="H650" s="8"/>
      <c r="I650" s="8"/>
      <c r="J650" s="8"/>
      <c r="K650" s="15"/>
      <c r="L650" s="8"/>
      <c r="M650" s="8"/>
      <c r="N650" s="49"/>
      <c r="O650" s="1035"/>
      <c r="P650" s="8"/>
      <c r="Q650" s="8"/>
      <c r="R650" s="685"/>
      <c r="S650" s="132"/>
      <c r="T650" s="132"/>
      <c r="U650" s="919"/>
      <c r="V650" s="8"/>
      <c r="W650" s="8"/>
      <c r="X650" s="8"/>
      <c r="Y650" s="8"/>
      <c r="Z650" s="8"/>
    </row>
    <row r="651" spans="1:26" s="407" customFormat="1" ht="12" hidden="1" customHeight="1" thickBot="1">
      <c r="A651" s="1253"/>
      <c r="B651" s="1281"/>
      <c r="C651" s="34"/>
      <c r="D651" s="1308"/>
      <c r="E651" s="13"/>
      <c r="F651" s="8"/>
      <c r="G651" s="132"/>
      <c r="H651" s="8"/>
      <c r="I651" s="8"/>
      <c r="J651" s="8"/>
      <c r="K651" s="15"/>
      <c r="L651" s="8"/>
      <c r="M651" s="8"/>
      <c r="N651" s="49"/>
      <c r="O651" s="1035"/>
      <c r="P651" s="8"/>
      <c r="Q651" s="8"/>
      <c r="R651" s="685"/>
      <c r="S651" s="132"/>
      <c r="T651" s="132"/>
      <c r="U651" s="919"/>
      <c r="V651" s="8"/>
      <c r="W651" s="8"/>
      <c r="X651" s="8"/>
      <c r="Y651" s="8"/>
      <c r="Z651" s="8"/>
    </row>
    <row r="652" spans="1:26" s="407" customFormat="1" ht="12" hidden="1" customHeight="1" thickBot="1">
      <c r="A652" s="1002" t="s">
        <v>3014</v>
      </c>
      <c r="B652" s="13"/>
      <c r="C652" s="34"/>
      <c r="D652" s="1325"/>
      <c r="E652" s="541"/>
      <c r="F652" s="8"/>
      <c r="G652" s="132"/>
      <c r="H652" s="8"/>
      <c r="I652" s="8"/>
      <c r="J652" s="8"/>
      <c r="K652" s="15"/>
      <c r="L652" s="8"/>
      <c r="M652" s="8"/>
      <c r="N652" s="49"/>
      <c r="O652" s="1035"/>
      <c r="P652" s="8"/>
      <c r="Q652" s="8"/>
      <c r="R652" s="685"/>
      <c r="S652" s="132"/>
      <c r="T652" s="132"/>
      <c r="U652" s="919"/>
      <c r="V652" s="8"/>
      <c r="W652" s="8"/>
      <c r="X652" s="8"/>
      <c r="Y652" s="8"/>
      <c r="Z652" s="8"/>
    </row>
    <row r="653" spans="1:26" ht="12" hidden="1" customHeight="1" thickBot="1">
      <c r="A653" s="1264"/>
      <c r="B653" s="541"/>
      <c r="C653" s="34"/>
      <c r="D653" s="1325"/>
      <c r="E653" s="541"/>
      <c r="K653" s="15"/>
      <c r="N653" s="49"/>
      <c r="O653" s="1035"/>
      <c r="U653" s="919"/>
    </row>
    <row r="654" spans="1:26" ht="12" hidden="1" customHeight="1">
      <c r="A654" s="1243"/>
      <c r="B654" s="1213"/>
      <c r="C654" s="1214"/>
      <c r="D654" s="1214"/>
      <c r="E654" s="1213"/>
      <c r="F654" s="1213"/>
      <c r="G654" s="1215"/>
      <c r="H654" s="1213"/>
      <c r="I654" s="1213"/>
      <c r="J654" s="1213"/>
      <c r="K654" s="1213"/>
      <c r="L654" s="1216"/>
      <c r="M654" s="1213"/>
      <c r="N654" s="1216"/>
      <c r="O654" s="1217"/>
      <c r="P654" s="1213"/>
      <c r="Q654" s="1213"/>
      <c r="R654" s="1218"/>
      <c r="S654" s="1215"/>
      <c r="T654" s="1215"/>
      <c r="U654" s="1359"/>
      <c r="V654" s="1219"/>
      <c r="W654" s="1213"/>
      <c r="X654" s="1213"/>
      <c r="Y654" s="1213"/>
      <c r="Z654" s="1213"/>
    </row>
    <row r="655" spans="1:26" ht="12" hidden="1" customHeight="1">
      <c r="A655" s="10"/>
      <c r="B655" s="8">
        <v>3</v>
      </c>
      <c r="L655" s="1103"/>
      <c r="N655" s="1103"/>
      <c r="O655" s="1108"/>
      <c r="U655" s="686"/>
      <c r="V655" s="86"/>
    </row>
    <row r="656" spans="1:26" ht="12" hidden="1" customHeight="1">
      <c r="A656" s="10"/>
      <c r="L656" s="1103"/>
      <c r="N656" s="1103"/>
      <c r="O656" s="1108"/>
      <c r="U656" s="686"/>
      <c r="V656" s="86"/>
    </row>
    <row r="657" spans="1:26" ht="12" hidden="1" customHeight="1">
      <c r="A657" s="510" t="s">
        <v>3013</v>
      </c>
      <c r="B657" s="1272">
        <f>SUM(O627:O657)</f>
        <v>0</v>
      </c>
      <c r="C657" s="826" t="e">
        <f>B657/B617</f>
        <v>#DIV/0!</v>
      </c>
      <c r="D657" s="9" t="s">
        <v>574</v>
      </c>
      <c r="F657" s="407"/>
      <c r="G657" s="999"/>
      <c r="H657" s="998"/>
      <c r="I657" s="407"/>
      <c r="J657" s="407"/>
      <c r="K657" s="407"/>
      <c r="L657" s="998"/>
      <c r="M657" s="407"/>
      <c r="N657" s="1121"/>
      <c r="O657" s="1048"/>
      <c r="P657" s="407"/>
      <c r="Q657" s="407"/>
      <c r="R657" s="1000"/>
      <c r="S657" s="999"/>
      <c r="T657" s="999"/>
      <c r="U657" s="1001"/>
      <c r="V657" s="407"/>
      <c r="W657" s="407"/>
      <c r="X657" s="407"/>
      <c r="Y657" s="407"/>
      <c r="Z657" s="407"/>
    </row>
    <row r="658" spans="1:26" ht="12" hidden="1" customHeight="1">
      <c r="A658" s="510" t="s">
        <v>463</v>
      </c>
      <c r="B658" s="1270">
        <f>SUM(R627:R657)</f>
        <v>0</v>
      </c>
      <c r="C658" s="1292" t="e">
        <f>B657/B658</f>
        <v>#DIV/0!</v>
      </c>
      <c r="D658" s="1266" t="s">
        <v>575</v>
      </c>
      <c r="F658" s="407"/>
      <c r="G658" s="999"/>
      <c r="H658" s="998"/>
      <c r="I658" s="407"/>
      <c r="J658" s="407"/>
      <c r="K658" s="407"/>
      <c r="L658" s="998"/>
      <c r="M658" s="407"/>
      <c r="N658" s="1121"/>
      <c r="O658" s="1048"/>
      <c r="P658" s="407"/>
      <c r="Q658" s="407"/>
      <c r="R658" s="1000"/>
      <c r="S658" s="999"/>
      <c r="T658" s="999"/>
      <c r="U658" s="1001"/>
      <c r="V658" s="407"/>
      <c r="W658" s="407"/>
      <c r="X658" s="407"/>
      <c r="Y658" s="407"/>
      <c r="Z658" s="407"/>
    </row>
    <row r="659" spans="1:26" ht="12" hidden="1" customHeight="1">
      <c r="A659" s="510"/>
      <c r="B659" s="7"/>
      <c r="C659" s="29"/>
      <c r="D659" s="1266" t="s">
        <v>576</v>
      </c>
      <c r="F659" s="407"/>
      <c r="G659" s="999"/>
      <c r="H659" s="998"/>
      <c r="I659" s="407"/>
      <c r="J659" s="407"/>
      <c r="K659" s="407"/>
      <c r="L659" s="998"/>
      <c r="M659" s="407"/>
      <c r="N659" s="1121"/>
      <c r="O659" s="1048"/>
      <c r="P659" s="407"/>
      <c r="Q659" s="407"/>
      <c r="R659" s="1000"/>
      <c r="S659" s="999"/>
      <c r="T659" s="999"/>
      <c r="U659" s="1001"/>
      <c r="V659" s="407"/>
      <c r="W659" s="407"/>
      <c r="X659" s="407"/>
      <c r="Y659" s="407"/>
      <c r="Z659" s="407"/>
    </row>
    <row r="660" spans="1:26" ht="12" hidden="1" customHeight="1">
      <c r="A660" s="510" t="s">
        <v>464</v>
      </c>
      <c r="B660" s="1135">
        <v>0</v>
      </c>
      <c r="C660" s="29"/>
      <c r="D660" s="1266" t="s">
        <v>1304</v>
      </c>
      <c r="F660" s="407"/>
      <c r="G660" s="999"/>
      <c r="H660" s="998"/>
      <c r="I660" s="407"/>
      <c r="J660" s="407"/>
      <c r="K660" s="407"/>
      <c r="L660" s="998"/>
      <c r="M660" s="407"/>
      <c r="N660" s="1121"/>
      <c r="O660" s="1048"/>
      <c r="P660" s="407"/>
      <c r="Q660" s="407"/>
      <c r="R660" s="1000"/>
      <c r="S660" s="999"/>
      <c r="T660" s="999"/>
      <c r="U660" s="1001"/>
      <c r="V660" s="407"/>
      <c r="W660" s="407"/>
      <c r="X660" s="407"/>
      <c r="Y660" s="407"/>
      <c r="Z660" s="407"/>
    </row>
    <row r="661" spans="1:26" ht="12" hidden="1" customHeight="1">
      <c r="A661" s="510" t="s">
        <v>574</v>
      </c>
      <c r="B661" s="1280">
        <f>E663</f>
        <v>6962.6399999999976</v>
      </c>
      <c r="C661" s="29"/>
      <c r="D661" s="1266" t="s">
        <v>577</v>
      </c>
      <c r="F661" s="407"/>
      <c r="G661" s="999"/>
      <c r="H661" s="998"/>
      <c r="I661" s="407"/>
      <c r="J661" s="407"/>
      <c r="K661" s="407"/>
      <c r="L661" s="998"/>
      <c r="M661" s="407"/>
      <c r="N661" s="1121"/>
      <c r="O661" s="1048"/>
      <c r="P661" s="407"/>
      <c r="Q661" s="407"/>
      <c r="R661" s="1000"/>
      <c r="S661" s="999"/>
      <c r="T661" s="999"/>
      <c r="U661" s="1001"/>
      <c r="V661" s="407"/>
      <c r="W661" s="407"/>
      <c r="X661" s="407"/>
      <c r="Y661" s="407"/>
      <c r="Z661" s="407"/>
    </row>
    <row r="662" spans="1:26" ht="12" hidden="1" customHeight="1">
      <c r="A662" s="510" t="s">
        <v>1534</v>
      </c>
      <c r="B662" s="773">
        <f>B657-B660-B661</f>
        <v>-6962.6399999999976</v>
      </c>
      <c r="C662" s="29"/>
      <c r="D662" s="1266" t="s">
        <v>578</v>
      </c>
      <c r="F662" s="407"/>
      <c r="G662" s="999"/>
      <c r="H662" s="998"/>
      <c r="I662" s="407"/>
      <c r="J662" s="407"/>
      <c r="K662" s="407"/>
      <c r="L662" s="998"/>
      <c r="M662" s="407"/>
      <c r="N662" s="1121"/>
      <c r="O662" s="1048"/>
      <c r="P662" s="407"/>
      <c r="Q662" s="407"/>
      <c r="R662" s="1000"/>
      <c r="S662" s="999"/>
      <c r="T662" s="999"/>
      <c r="U662" s="1001"/>
      <c r="V662" s="407"/>
      <c r="W662" s="407"/>
      <c r="X662" s="407"/>
      <c r="Y662" s="407"/>
      <c r="Z662" s="407"/>
    </row>
    <row r="663" spans="1:26" ht="12" hidden="1" customHeight="1">
      <c r="A663" s="510" t="s">
        <v>466</v>
      </c>
      <c r="B663" s="773">
        <f>B662/12</f>
        <v>-580.2199999999998</v>
      </c>
      <c r="C663" s="29"/>
      <c r="D663" s="74" t="s">
        <v>585</v>
      </c>
      <c r="E663" s="1327">
        <v>6962.6399999999976</v>
      </c>
      <c r="K663" s="15"/>
      <c r="N663" s="49"/>
      <c r="O663" s="1035"/>
      <c r="U663" s="13"/>
    </row>
    <row r="664" spans="1:26" ht="12" hidden="1" customHeight="1">
      <c r="A664" s="10"/>
      <c r="C664" s="34"/>
      <c r="D664" s="34"/>
      <c r="K664" s="15"/>
      <c r="N664" s="49"/>
      <c r="O664" s="1035"/>
      <c r="U664" s="13"/>
    </row>
    <row r="665" spans="1:26" ht="12" hidden="1" customHeight="1">
      <c r="A665" s="10"/>
      <c r="C665" s="34"/>
      <c r="D665" s="34"/>
      <c r="K665" s="15"/>
      <c r="N665" s="49"/>
      <c r="O665" s="1035"/>
      <c r="U665" s="13"/>
    </row>
    <row r="666" spans="1:26" ht="12" hidden="1" customHeight="1">
      <c r="A666" s="10"/>
      <c r="C666" s="34"/>
      <c r="D666" s="34"/>
      <c r="K666" s="15"/>
      <c r="N666" s="49"/>
      <c r="O666" s="1035"/>
      <c r="U666" s="13"/>
    </row>
    <row r="667" spans="1:26" ht="12" hidden="1" customHeight="1">
      <c r="A667" s="10"/>
      <c r="C667" s="34"/>
      <c r="D667" s="34"/>
      <c r="K667" s="15"/>
      <c r="N667" s="49"/>
      <c r="O667" s="1035"/>
      <c r="U667" s="13"/>
    </row>
    <row r="668" spans="1:26" ht="12" hidden="1" customHeight="1">
      <c r="A668" s="1002" t="s">
        <v>3211</v>
      </c>
      <c r="C668" s="34"/>
      <c r="D668" s="34"/>
      <c r="K668" s="15"/>
      <c r="N668" s="49"/>
      <c r="O668" s="1035"/>
      <c r="U668" s="919"/>
    </row>
    <row r="669" spans="1:26" ht="12" hidden="1" customHeight="1">
      <c r="A669" s="1002"/>
      <c r="C669" s="34"/>
      <c r="D669" s="34"/>
      <c r="K669" s="15"/>
      <c r="N669" s="49"/>
      <c r="O669" s="1035"/>
      <c r="U669" s="919"/>
    </row>
    <row r="670" spans="1:26" ht="12" hidden="1" customHeight="1">
      <c r="A670" s="1124"/>
      <c r="B670" s="1104"/>
      <c r="C670" s="1105"/>
      <c r="D670" s="1105"/>
      <c r="E670" s="1104"/>
      <c r="F670" s="1104"/>
      <c r="G670" s="1106"/>
      <c r="H670" s="1104"/>
      <c r="I670" s="1104"/>
      <c r="J670" s="1104"/>
      <c r="K670" s="1107"/>
      <c r="L670" s="1104"/>
      <c r="M670" s="1104"/>
      <c r="N670" s="1103"/>
      <c r="O670" s="1122"/>
      <c r="P670" s="1104"/>
      <c r="Q670" s="1104"/>
      <c r="R670" s="1123"/>
      <c r="S670" s="1106"/>
      <c r="T670" s="1106"/>
      <c r="U670" s="1128"/>
      <c r="V670" s="1104"/>
      <c r="W670" s="1104"/>
      <c r="X670" s="1104"/>
      <c r="Y670" s="1104"/>
      <c r="Z670" s="1104"/>
    </row>
    <row r="671" spans="1:26" ht="12" hidden="1" customHeight="1">
      <c r="A671" s="10"/>
      <c r="N671" s="1103"/>
      <c r="O671" s="1108"/>
      <c r="U671" s="1368"/>
      <c r="V671" s="86"/>
    </row>
    <row r="672" spans="1:26" ht="12" hidden="1" customHeight="1">
      <c r="A672" s="10"/>
      <c r="L672" s="1103"/>
      <c r="N672" s="1103"/>
      <c r="O672" s="1108"/>
      <c r="U672" s="1368"/>
      <c r="V672" s="86"/>
    </row>
    <row r="673" spans="1:26" ht="12" hidden="1" customHeight="1">
      <c r="A673" s="1260"/>
      <c r="B673" s="407"/>
      <c r="C673" s="997"/>
      <c r="D673" s="997"/>
      <c r="E673" s="998"/>
      <c r="F673" s="407"/>
      <c r="G673" s="999"/>
      <c r="H673" s="998"/>
      <c r="I673" s="407"/>
      <c r="J673" s="407"/>
      <c r="K673" s="407"/>
      <c r="L673" s="998"/>
      <c r="M673" s="407"/>
      <c r="N673" s="1121"/>
      <c r="O673" s="1048"/>
      <c r="P673" s="407"/>
      <c r="Q673" s="407"/>
      <c r="R673" s="1000"/>
      <c r="S673" s="999"/>
      <c r="T673" s="999"/>
      <c r="U673" s="1130"/>
      <c r="V673" s="407"/>
      <c r="W673" s="407"/>
      <c r="X673" s="407"/>
      <c r="Y673" s="407"/>
      <c r="Z673" s="407"/>
    </row>
    <row r="674" spans="1:26" ht="12" hidden="1" customHeight="1">
      <c r="A674" s="510" t="s">
        <v>3212</v>
      </c>
      <c r="B674" s="1272">
        <f>SUM(O654:O674)</f>
        <v>0</v>
      </c>
      <c r="C674" s="826" t="e">
        <f>B674/B643</f>
        <v>#DIV/0!</v>
      </c>
      <c r="D674" s="9" t="s">
        <v>574</v>
      </c>
      <c r="E674" s="132"/>
      <c r="F674" s="407"/>
      <c r="G674" s="999"/>
      <c r="H674" s="998"/>
      <c r="I674" s="407"/>
      <c r="J674" s="407"/>
      <c r="K674" s="407"/>
      <c r="L674" s="998"/>
      <c r="M674" s="407"/>
      <c r="N674" s="1121"/>
      <c r="O674" s="1048"/>
      <c r="P674" s="407"/>
      <c r="Q674" s="407"/>
      <c r="R674" s="1000"/>
      <c r="S674" s="999"/>
      <c r="T674" s="999"/>
      <c r="U674" s="1130"/>
      <c r="V674" s="407"/>
      <c r="W674" s="407"/>
      <c r="X674" s="407"/>
      <c r="Y674" s="407"/>
      <c r="Z674" s="407"/>
    </row>
    <row r="675" spans="1:26" ht="12" hidden="1" customHeight="1">
      <c r="A675" s="510" t="s">
        <v>463</v>
      </c>
      <c r="B675" s="1270">
        <f>SUM(R654:R674)</f>
        <v>0</v>
      </c>
      <c r="C675" s="1292" t="e">
        <f>B674/B675</f>
        <v>#DIV/0!</v>
      </c>
      <c r="D675" s="1266" t="s">
        <v>575</v>
      </c>
      <c r="E675" s="132"/>
      <c r="F675" s="407"/>
      <c r="G675" s="999"/>
      <c r="H675" s="998"/>
      <c r="I675" s="407"/>
      <c r="J675" s="407"/>
      <c r="K675" s="407"/>
      <c r="L675" s="998"/>
      <c r="M675" s="407"/>
      <c r="N675" s="1121"/>
      <c r="O675" s="1048"/>
      <c r="P675" s="407"/>
      <c r="Q675" s="407"/>
      <c r="R675" s="1000"/>
      <c r="S675" s="999"/>
      <c r="T675" s="999"/>
      <c r="U675" s="1130"/>
      <c r="V675" s="407"/>
      <c r="W675" s="407"/>
      <c r="X675" s="407"/>
      <c r="Y675" s="407"/>
      <c r="Z675" s="407"/>
    </row>
    <row r="676" spans="1:26" ht="12" hidden="1" customHeight="1">
      <c r="A676" s="510"/>
      <c r="B676" s="7"/>
      <c r="C676" s="29"/>
      <c r="D676" s="1266" t="s">
        <v>576</v>
      </c>
      <c r="E676" s="132"/>
      <c r="F676" s="407"/>
      <c r="G676" s="999"/>
      <c r="H676" s="998"/>
      <c r="I676" s="407"/>
      <c r="J676" s="407"/>
      <c r="K676" s="407"/>
      <c r="L676" s="998"/>
      <c r="M676" s="407"/>
      <c r="N676" s="1121"/>
      <c r="O676" s="1048"/>
      <c r="P676" s="407"/>
      <c r="Q676" s="407"/>
      <c r="R676" s="1000"/>
      <c r="S676" s="999"/>
      <c r="T676" s="999"/>
      <c r="U676" s="1130"/>
      <c r="V676" s="407"/>
      <c r="W676" s="407"/>
      <c r="X676" s="407"/>
      <c r="Y676" s="407"/>
      <c r="Z676" s="407"/>
    </row>
    <row r="677" spans="1:26" ht="12" hidden="1" customHeight="1">
      <c r="A677" s="510" t="s">
        <v>464</v>
      </c>
      <c r="B677" s="1135">
        <v>0</v>
      </c>
      <c r="C677" s="29"/>
      <c r="D677" s="1266" t="s">
        <v>1304</v>
      </c>
      <c r="E677" s="132"/>
      <c r="F677" s="407"/>
      <c r="G677" s="999"/>
      <c r="H677" s="998"/>
      <c r="I677" s="407"/>
      <c r="J677" s="407"/>
      <c r="K677" s="407"/>
      <c r="L677" s="998"/>
      <c r="M677" s="407"/>
      <c r="N677" s="1121"/>
      <c r="O677" s="1048"/>
      <c r="P677" s="407"/>
      <c r="Q677" s="407"/>
      <c r="R677" s="1000"/>
      <c r="S677" s="999"/>
      <c r="T677" s="999"/>
      <c r="U677" s="1130"/>
      <c r="V677" s="407"/>
      <c r="W677" s="407"/>
      <c r="X677" s="407"/>
      <c r="Y677" s="407"/>
      <c r="Z677" s="407"/>
    </row>
    <row r="678" spans="1:26" ht="12" hidden="1" customHeight="1">
      <c r="A678" s="510" t="s">
        <v>574</v>
      </c>
      <c r="B678" s="1280">
        <f>E680</f>
        <v>6962.6399999999976</v>
      </c>
      <c r="C678" s="29"/>
      <c r="D678" s="1266" t="s">
        <v>577</v>
      </c>
      <c r="E678" s="132"/>
      <c r="F678" s="407"/>
      <c r="G678" s="999"/>
      <c r="H678" s="998"/>
      <c r="I678" s="407"/>
      <c r="J678" s="407"/>
      <c r="K678" s="407"/>
      <c r="L678" s="998"/>
      <c r="M678" s="407"/>
      <c r="N678" s="1121"/>
      <c r="O678" s="1048"/>
      <c r="P678" s="407"/>
      <c r="Q678" s="407"/>
      <c r="R678" s="1000"/>
      <c r="S678" s="999"/>
      <c r="T678" s="999"/>
      <c r="U678" s="1130"/>
      <c r="V678" s="407"/>
      <c r="W678" s="407"/>
      <c r="X678" s="407"/>
      <c r="Y678" s="407"/>
      <c r="Z678" s="407"/>
    </row>
    <row r="679" spans="1:26" ht="12" hidden="1" customHeight="1">
      <c r="A679" s="510" t="s">
        <v>1534</v>
      </c>
      <c r="B679" s="773">
        <f>B674-B677-B678</f>
        <v>-6962.6399999999976</v>
      </c>
      <c r="C679" s="29"/>
      <c r="D679" s="1266" t="s">
        <v>3360</v>
      </c>
      <c r="E679" s="132">
        <v>802</v>
      </c>
      <c r="F679" s="407"/>
      <c r="G679" s="999"/>
      <c r="H679" s="998"/>
      <c r="I679" s="407"/>
      <c r="J679" s="407"/>
      <c r="K679" s="407"/>
      <c r="L679" s="998"/>
      <c r="M679" s="407"/>
      <c r="N679" s="1121"/>
      <c r="O679" s="1048"/>
      <c r="P679" s="407"/>
      <c r="Q679" s="407"/>
      <c r="R679" s="1000"/>
      <c r="S679" s="999"/>
      <c r="T679" s="999"/>
      <c r="U679" s="1130"/>
      <c r="V679" s="407"/>
      <c r="W679" s="407"/>
      <c r="X679" s="407"/>
      <c r="Y679" s="407"/>
      <c r="Z679" s="407"/>
    </row>
    <row r="680" spans="1:26" ht="12" hidden="1" customHeight="1">
      <c r="A680" s="510" t="s">
        <v>466</v>
      </c>
      <c r="B680" s="773">
        <f>B679/12</f>
        <v>-580.2199999999998</v>
      </c>
      <c r="C680" s="29"/>
      <c r="D680" s="74" t="s">
        <v>585</v>
      </c>
      <c r="E680" s="1327">
        <v>6962.6399999999976</v>
      </c>
      <c r="K680" s="15"/>
      <c r="N680" s="49"/>
      <c r="O680" s="1035"/>
      <c r="Q680" s="8" t="s">
        <v>3262</v>
      </c>
      <c r="U680" s="1127"/>
    </row>
    <row r="681" spans="1:26" ht="12" hidden="1" customHeight="1">
      <c r="A681" s="10"/>
      <c r="C681" s="34"/>
      <c r="D681" s="34"/>
      <c r="K681" s="15"/>
      <c r="N681" s="49"/>
      <c r="O681" s="1035"/>
      <c r="U681" s="1127"/>
    </row>
    <row r="682" spans="1:26" ht="12" hidden="1" customHeight="1">
      <c r="A682" s="10"/>
      <c r="C682" s="34"/>
      <c r="D682" s="34"/>
      <c r="K682" s="15"/>
      <c r="N682" s="49"/>
      <c r="O682" s="1035"/>
      <c r="U682" s="13"/>
    </row>
    <row r="683" spans="1:26" ht="12" hidden="1" customHeight="1">
      <c r="A683" s="10"/>
      <c r="C683" s="34"/>
      <c r="D683" s="34"/>
      <c r="K683" s="15"/>
      <c r="N683" s="49"/>
      <c r="O683" s="1035"/>
      <c r="U683" s="13"/>
    </row>
    <row r="684" spans="1:26" ht="12" hidden="1" customHeight="1">
      <c r="A684" s="10"/>
      <c r="C684" s="34"/>
      <c r="D684" s="34"/>
      <c r="K684" s="15"/>
      <c r="N684" s="49"/>
      <c r="O684" s="1035"/>
      <c r="U684" s="13"/>
    </row>
    <row r="685" spans="1:26" ht="12" hidden="1" customHeight="1">
      <c r="A685" s="10"/>
      <c r="C685" s="34"/>
      <c r="D685" s="34"/>
      <c r="K685" s="15"/>
      <c r="N685" s="49"/>
      <c r="O685" s="1035"/>
      <c r="U685" s="13"/>
    </row>
    <row r="686" spans="1:26" ht="12" hidden="1" customHeight="1" thickBot="1">
      <c r="A686" s="519"/>
      <c r="B686" s="778"/>
      <c r="C686" s="1299"/>
      <c r="D686" s="1299"/>
      <c r="E686" s="778"/>
      <c r="F686" s="778"/>
      <c r="G686" s="779"/>
      <c r="H686" s="778"/>
      <c r="I686" s="778"/>
      <c r="J686" s="778"/>
      <c r="K686" s="1343"/>
      <c r="L686" s="778"/>
      <c r="M686" s="778"/>
      <c r="N686" s="996"/>
      <c r="O686" s="1349"/>
      <c r="P686" s="778"/>
      <c r="Q686" s="778"/>
      <c r="R686" s="877"/>
      <c r="S686" s="779"/>
      <c r="T686" s="779"/>
      <c r="U686" s="541"/>
    </row>
    <row r="687" spans="1:26" hidden="1">
      <c r="C687" s="34"/>
      <c r="D687" s="34"/>
      <c r="K687" s="15"/>
      <c r="N687" s="49"/>
      <c r="O687" s="1035"/>
    </row>
    <row r="688" spans="1:26" ht="12" hidden="1" customHeight="1" thickBot="1">
      <c r="C688" s="34"/>
      <c r="D688" s="34"/>
      <c r="K688" s="15"/>
      <c r="N688" s="49"/>
      <c r="O688" s="1035"/>
    </row>
    <row r="689" spans="1:21" ht="12" hidden="1" customHeight="1">
      <c r="A689" s="1244"/>
      <c r="B689" s="792"/>
      <c r="C689" s="1304"/>
      <c r="D689" s="1304"/>
      <c r="E689" s="792"/>
      <c r="F689" s="792"/>
      <c r="G689" s="794"/>
      <c r="H689" s="792"/>
      <c r="I689" s="792"/>
      <c r="J689" s="792"/>
      <c r="K689" s="1344"/>
      <c r="L689" s="792"/>
      <c r="M689" s="792"/>
      <c r="N689" s="1346"/>
      <c r="O689" s="1352"/>
      <c r="P689" s="792"/>
      <c r="Q689" s="792"/>
      <c r="R689" s="880"/>
      <c r="S689" s="794"/>
      <c r="T689" s="794"/>
      <c r="U689" s="782"/>
    </row>
    <row r="690" spans="1:21" ht="12" hidden="1" customHeight="1">
      <c r="A690" s="10"/>
      <c r="C690" s="34"/>
      <c r="D690" s="34"/>
      <c r="K690" s="15"/>
      <c r="N690" s="49"/>
      <c r="O690" s="1035"/>
      <c r="U690" s="13"/>
    </row>
    <row r="691" spans="1:21" ht="12" hidden="1" customHeight="1">
      <c r="A691" s="10"/>
      <c r="C691" s="34"/>
      <c r="D691" s="34"/>
      <c r="K691" s="15"/>
      <c r="N691" s="49"/>
      <c r="O691" s="1035"/>
      <c r="U691" s="13"/>
    </row>
    <row r="692" spans="1:21" ht="12" hidden="1" customHeight="1">
      <c r="A692" s="10"/>
      <c r="C692" s="34"/>
      <c r="D692" s="34"/>
      <c r="K692" s="15"/>
      <c r="N692" s="49"/>
      <c r="O692" s="1035"/>
      <c r="U692" s="13"/>
    </row>
    <row r="693" spans="1:21" ht="12" hidden="1" customHeight="1">
      <c r="A693" s="10"/>
      <c r="O693" s="1012">
        <f>SUM(O426:O692)</f>
        <v>-628</v>
      </c>
      <c r="P693" s="1353">
        <f>O693*P254</f>
        <v>0</v>
      </c>
      <c r="R693" s="908">
        <f>SUM(R426:R692)</f>
        <v>0</v>
      </c>
      <c r="U693" s="13"/>
    </row>
    <row r="694" spans="1:21" ht="12" hidden="1" customHeight="1">
      <c r="A694" s="10"/>
      <c r="U694" s="13"/>
    </row>
    <row r="695" spans="1:21" ht="12" hidden="1" customHeight="1">
      <c r="A695" s="10"/>
      <c r="U695" s="13"/>
    </row>
    <row r="696" spans="1:21" ht="12" hidden="1" customHeight="1" thickBot="1">
      <c r="A696" s="1262" t="s">
        <v>234</v>
      </c>
      <c r="B696" s="778"/>
      <c r="C696" s="819"/>
      <c r="D696" s="819"/>
      <c r="E696" s="778"/>
      <c r="F696" s="778"/>
      <c r="G696" s="779"/>
      <c r="H696" s="778"/>
      <c r="I696" s="778"/>
      <c r="J696" s="778"/>
      <c r="K696" s="778"/>
      <c r="L696" s="778"/>
      <c r="M696" s="778"/>
      <c r="N696" s="778"/>
      <c r="O696" s="1025"/>
      <c r="P696" s="778"/>
      <c r="Q696" s="778"/>
      <c r="R696" s="877"/>
      <c r="S696" s="779"/>
      <c r="T696" s="779"/>
      <c r="U696" s="541"/>
    </row>
    <row r="697" spans="1:21" hidden="1">
      <c r="O697" s="1012">
        <f>SUM(O691:O696)</f>
        <v>-628</v>
      </c>
      <c r="R697" s="908">
        <f>SUM(R691:R696)</f>
        <v>0</v>
      </c>
    </row>
    <row r="698" spans="1:21" ht="12" hidden="1" customHeight="1"/>
    <row r="699" spans="1:21" ht="12" hidden="1" customHeight="1">
      <c r="O699" s="1015">
        <f>7500*0.75</f>
        <v>5625</v>
      </c>
    </row>
    <row r="700" spans="1:21" ht="12" hidden="1" customHeight="1">
      <c r="A700" s="8" t="s">
        <v>467</v>
      </c>
    </row>
    <row r="701" spans="1:21" hidden="1"/>
    <row r="702" spans="1:21" hidden="1"/>
    <row r="703" spans="1:21" hidden="1"/>
    <row r="704" spans="1:21" hidden="1"/>
    <row r="705" spans="1:14" hidden="1"/>
    <row r="706" spans="1:14" hidden="1"/>
    <row r="707" spans="1:14" hidden="1"/>
    <row r="708" spans="1:14" ht="12" hidden="1" customHeight="1">
      <c r="A708" s="7"/>
      <c r="B708" s="7"/>
      <c r="C708" s="29"/>
      <c r="D708" s="29"/>
      <c r="E708" s="7"/>
      <c r="F708" s="7"/>
      <c r="G708" s="133"/>
      <c r="H708" s="7"/>
      <c r="I708" s="7"/>
      <c r="J708" s="7"/>
      <c r="K708" s="7"/>
      <c r="L708" s="7"/>
      <c r="M708" s="7"/>
      <c r="N708" s="7"/>
    </row>
    <row r="709" spans="1:14" ht="12" hidden="1" customHeight="1">
      <c r="N709" s="49"/>
    </row>
    <row r="710" spans="1:14" ht="12" hidden="1" customHeight="1">
      <c r="N710" s="49"/>
    </row>
    <row r="711" spans="1:14" ht="12" hidden="1" customHeight="1">
      <c r="C711" s="8"/>
      <c r="D711" s="8"/>
      <c r="N711" s="49"/>
    </row>
    <row r="712" spans="1:14" ht="12" hidden="1" customHeight="1">
      <c r="C712" s="8"/>
      <c r="D712" s="8"/>
      <c r="N712" s="49"/>
    </row>
    <row r="713" spans="1:14" ht="12" hidden="1" customHeight="1">
      <c r="C713" s="8"/>
      <c r="D713" s="8"/>
      <c r="N713" s="49"/>
    </row>
    <row r="714" spans="1:14" ht="12" hidden="1" customHeight="1">
      <c r="C714" s="8"/>
      <c r="D714" s="8"/>
      <c r="N714" s="49"/>
    </row>
    <row r="715" spans="1:14" ht="12" hidden="1" customHeight="1">
      <c r="C715" s="8"/>
      <c r="D715" s="8"/>
      <c r="N715" s="49"/>
    </row>
    <row r="716" spans="1:14" ht="12" hidden="1" customHeight="1">
      <c r="C716" s="8"/>
      <c r="D716" s="8"/>
      <c r="N716" s="49"/>
    </row>
    <row r="717" spans="1:14" ht="12" hidden="1" customHeight="1">
      <c r="C717" s="8"/>
      <c r="D717" s="8"/>
      <c r="N717" s="49"/>
    </row>
    <row r="718" spans="1:14" ht="12" hidden="1" customHeight="1">
      <c r="C718" s="8"/>
      <c r="D718" s="8"/>
      <c r="N718" s="49"/>
    </row>
    <row r="719" spans="1:14" ht="12" hidden="1" customHeight="1">
      <c r="C719" s="8"/>
      <c r="D719" s="8"/>
      <c r="N719" s="49"/>
    </row>
    <row r="720" spans="1:14" ht="12" hidden="1" customHeight="1">
      <c r="C720" s="8"/>
      <c r="D720" s="8"/>
      <c r="N720" s="49"/>
    </row>
    <row r="721" spans="3:14" ht="12" hidden="1" customHeight="1">
      <c r="C721" s="8"/>
      <c r="D721" s="8"/>
      <c r="N721" s="49"/>
    </row>
    <row r="722" spans="3:14" ht="12" hidden="1" customHeight="1">
      <c r="C722" s="8"/>
      <c r="D722" s="8"/>
      <c r="N722" s="49"/>
    </row>
    <row r="723" spans="3:14" ht="12" hidden="1" customHeight="1">
      <c r="C723" s="8"/>
      <c r="D723" s="8"/>
      <c r="N723" s="49"/>
    </row>
    <row r="724" spans="3:14" ht="12" hidden="1" customHeight="1">
      <c r="C724" s="8"/>
      <c r="D724" s="8"/>
      <c r="N724" s="49"/>
    </row>
    <row r="725" spans="3:14" ht="12" hidden="1" customHeight="1">
      <c r="C725" s="8"/>
      <c r="D725" s="8"/>
      <c r="N725" s="49"/>
    </row>
    <row r="726" spans="3:14" ht="12" hidden="1" customHeight="1">
      <c r="C726" s="8"/>
      <c r="D726" s="8"/>
      <c r="N726" s="49"/>
    </row>
    <row r="727" spans="3:14" ht="12" hidden="1" customHeight="1">
      <c r="C727" s="8"/>
      <c r="D727" s="8"/>
      <c r="N727" s="49"/>
    </row>
    <row r="728" spans="3:14" ht="12" hidden="1" customHeight="1">
      <c r="C728" s="8"/>
      <c r="D728" s="8"/>
      <c r="N728" s="49"/>
    </row>
    <row r="729" spans="3:14" ht="12" hidden="1" customHeight="1">
      <c r="C729" s="8"/>
      <c r="D729" s="8"/>
      <c r="N729" s="49"/>
    </row>
    <row r="730" spans="3:14" ht="12" hidden="1" customHeight="1">
      <c r="C730" s="8"/>
      <c r="D730" s="8"/>
      <c r="N730" s="49"/>
    </row>
    <row r="731" spans="3:14" ht="12" hidden="1" customHeight="1">
      <c r="C731" s="8"/>
      <c r="D731" s="8"/>
      <c r="N731" s="49"/>
    </row>
    <row r="732" spans="3:14" ht="12" hidden="1" customHeight="1">
      <c r="C732" s="8"/>
      <c r="D732" s="8"/>
      <c r="N732" s="49"/>
    </row>
    <row r="733" spans="3:14" ht="12" hidden="1" customHeight="1">
      <c r="C733" s="8"/>
      <c r="D733" s="8"/>
      <c r="N733" s="49"/>
    </row>
    <row r="734" spans="3:14" ht="12" hidden="1" customHeight="1">
      <c r="C734" s="8"/>
      <c r="D734" s="8"/>
      <c r="N734" s="49"/>
    </row>
  </sheetData>
  <sortState xmlns:xlrd2="http://schemas.microsoft.com/office/spreadsheetml/2017/richdata2" ref="AB1:AB193">
    <sortCondition ref="AB1:AB734"/>
  </sortState>
  <conditionalFormatting sqref="B82 B115 B147 B190 B246 B310 B376">
    <cfRule type="cellIs" dxfId="102" priority="34" stopIfTrue="1" operator="lessThan">
      <formula>0</formula>
    </cfRule>
    <cfRule type="cellIs" dxfId="101" priority="33" stopIfTrue="1" operator="greaterThanOrEqual">
      <formula>0</formula>
    </cfRule>
  </conditionalFormatting>
  <conditionalFormatting sqref="B83 B116 B148 B191 B247 B311 B377 B419">
    <cfRule type="cellIs" dxfId="100" priority="37" stopIfTrue="1" operator="greaterThan">
      <formula>2000</formula>
    </cfRule>
    <cfRule type="cellIs" dxfId="99" priority="35" stopIfTrue="1" operator="between">
      <formula>0</formula>
      <formula>1000</formula>
    </cfRule>
    <cfRule type="cellIs" dxfId="98" priority="36" stopIfTrue="1" operator="between">
      <formula>1000</formula>
      <formula>2000</formula>
    </cfRule>
  </conditionalFormatting>
  <conditionalFormatting sqref="B418">
    <cfRule type="cellIs" dxfId="97" priority="32" stopIfTrue="1" operator="lessThan">
      <formula>0</formula>
    </cfRule>
    <cfRule type="cellIs" dxfId="96" priority="31" stopIfTrue="1" operator="greaterThanOrEqual">
      <formula>0</formula>
    </cfRule>
  </conditionalFormatting>
  <conditionalFormatting sqref="B453">
    <cfRule type="cellIs" dxfId="95" priority="27" stopIfTrue="1" operator="lessThan">
      <formula>0</formula>
    </cfRule>
    <cfRule type="cellIs" dxfId="94" priority="26" stopIfTrue="1" operator="greaterThanOrEqual">
      <formula>0</formula>
    </cfRule>
  </conditionalFormatting>
  <conditionalFormatting sqref="B454">
    <cfRule type="cellIs" dxfId="93" priority="30" stopIfTrue="1" operator="greaterThan">
      <formula>2000</formula>
    </cfRule>
    <cfRule type="cellIs" dxfId="92" priority="29" stopIfTrue="1" operator="between">
      <formula>1000</formula>
      <formula>2000</formula>
    </cfRule>
    <cfRule type="cellIs" dxfId="91" priority="28" stopIfTrue="1" operator="between">
      <formula>0</formula>
      <formula>1000</formula>
    </cfRule>
  </conditionalFormatting>
  <conditionalFormatting sqref="B496">
    <cfRule type="cellIs" dxfId="90" priority="22" stopIfTrue="1" operator="lessThan">
      <formula>0</formula>
    </cfRule>
    <cfRule type="cellIs" dxfId="89" priority="21" stopIfTrue="1" operator="greaterThanOrEqual">
      <formula>0</formula>
    </cfRule>
  </conditionalFormatting>
  <conditionalFormatting sqref="B497">
    <cfRule type="cellIs" dxfId="88" priority="25" stopIfTrue="1" operator="greaterThan">
      <formula>2000</formula>
    </cfRule>
    <cfRule type="cellIs" dxfId="87" priority="24" stopIfTrue="1" operator="between">
      <formula>1000</formula>
      <formula>2000</formula>
    </cfRule>
    <cfRule type="cellIs" dxfId="86" priority="23" stopIfTrue="1" operator="between">
      <formula>0</formula>
      <formula>1000</formula>
    </cfRule>
  </conditionalFormatting>
  <conditionalFormatting sqref="B537">
    <cfRule type="cellIs" dxfId="85" priority="16" stopIfTrue="1" operator="greaterThanOrEqual">
      <formula>0</formula>
    </cfRule>
    <cfRule type="cellIs" dxfId="84" priority="17" stopIfTrue="1" operator="lessThan">
      <formula>0</formula>
    </cfRule>
  </conditionalFormatting>
  <conditionalFormatting sqref="B538">
    <cfRule type="cellIs" dxfId="83" priority="20" stopIfTrue="1" operator="greaterThan">
      <formula>2000</formula>
    </cfRule>
    <cfRule type="cellIs" dxfId="82" priority="18" stopIfTrue="1" operator="between">
      <formula>0</formula>
      <formula>1000</formula>
    </cfRule>
    <cfRule type="cellIs" dxfId="81" priority="19" stopIfTrue="1" operator="between">
      <formula>1000</formula>
      <formula>2000</formula>
    </cfRule>
  </conditionalFormatting>
  <conditionalFormatting sqref="B581">
    <cfRule type="cellIs" dxfId="80" priority="12" stopIfTrue="1" operator="lessThan">
      <formula>0</formula>
    </cfRule>
    <cfRule type="cellIs" dxfId="79" priority="11" stopIfTrue="1" operator="greaterThanOrEqual">
      <formula>0</formula>
    </cfRule>
  </conditionalFormatting>
  <conditionalFormatting sqref="B582">
    <cfRule type="cellIs" dxfId="78" priority="13" stopIfTrue="1" operator="between">
      <formula>0</formula>
      <formula>1000</formula>
    </cfRule>
    <cfRule type="cellIs" dxfId="77" priority="15" stopIfTrue="1" operator="greaterThan">
      <formula>2000</formula>
    </cfRule>
    <cfRule type="cellIs" dxfId="76" priority="14" stopIfTrue="1" operator="between">
      <formula>1000</formula>
      <formula>2000</formula>
    </cfRule>
  </conditionalFormatting>
  <conditionalFormatting sqref="B621">
    <cfRule type="cellIs" dxfId="75" priority="7" stopIfTrue="1" operator="lessThan">
      <formula>0</formula>
    </cfRule>
    <cfRule type="cellIs" dxfId="74" priority="6" stopIfTrue="1" operator="greaterThanOrEqual">
      <formula>0</formula>
    </cfRule>
  </conditionalFormatting>
  <conditionalFormatting sqref="B622">
    <cfRule type="cellIs" dxfId="73" priority="10" stopIfTrue="1" operator="greaterThan">
      <formula>2000</formula>
    </cfRule>
    <cfRule type="cellIs" dxfId="72" priority="9" stopIfTrue="1" operator="between">
      <formula>1000</formula>
      <formula>2000</formula>
    </cfRule>
    <cfRule type="cellIs" dxfId="71" priority="8" stopIfTrue="1" operator="between">
      <formula>0</formula>
      <formula>1000</formula>
    </cfRule>
  </conditionalFormatting>
  <conditionalFormatting sqref="B652">
    <cfRule type="cellIs" dxfId="70" priority="2" stopIfTrue="1" operator="lessThan">
      <formula>0</formula>
    </cfRule>
    <cfRule type="cellIs" dxfId="69" priority="1" stopIfTrue="1" operator="greaterThanOrEqual">
      <formula>0</formula>
    </cfRule>
  </conditionalFormatting>
  <conditionalFormatting sqref="B653">
    <cfRule type="cellIs" dxfId="68" priority="5" stopIfTrue="1" operator="greaterThan">
      <formula>2000</formula>
    </cfRule>
    <cfRule type="cellIs" dxfId="67" priority="4" stopIfTrue="1" operator="between">
      <formula>1000</formula>
      <formula>2000</formula>
    </cfRule>
    <cfRule type="cellIs" dxfId="66" priority="3" stopIfTrue="1" operator="between">
      <formula>0</formula>
      <formula>1000</formula>
    </cfRule>
  </conditionalFormatting>
  <hyperlinks>
    <hyperlink ref="N142" r:id="rId1" xr:uid="{93515886-C636-4745-A626-3B007781C5C6}"/>
    <hyperlink ref="N306" r:id="rId2" xr:uid="{54A7CEE3-7B8D-45CB-A0FD-248172D5E82D}"/>
    <hyperlink ref="N238" r:id="rId3" xr:uid="{C3883386-E0F2-4CF4-B59B-0B5E9BF21E67}"/>
    <hyperlink ref="N189" r:id="rId4" xr:uid="{08758BBD-E5D3-4F98-86C4-C872CD4475D7}"/>
    <hyperlink ref="N23" r:id="rId5" xr:uid="{740EF025-400B-40DA-9FA6-170D0A366B67}"/>
    <hyperlink ref="N235" r:id="rId6" xr:uid="{63AADEFA-289D-4F41-AE50-8726C1647812}"/>
    <hyperlink ref="N127" r:id="rId7" xr:uid="{E481B454-1F61-4EB3-AFF9-9FD83E408AF4}"/>
    <hyperlink ref="N19" r:id="rId8" xr:uid="{92929A44-2E8C-4922-A3CB-3D94C44C4EEE}"/>
    <hyperlink ref="N293" r:id="rId9" xr:uid="{45364011-84F7-4F9D-A046-65097B308EF2}"/>
    <hyperlink ref="N280" r:id="rId10" xr:uid="{18074B8E-04A5-446C-8C71-5CD3274265CC}"/>
    <hyperlink ref="N281" r:id="rId11" xr:uid="{40597994-4257-4148-AD27-AC3A4CCB0E3B}"/>
    <hyperlink ref="N312" r:id="rId12" xr:uid="{EC776959-4158-490C-B88D-B222334E3EE5}"/>
    <hyperlink ref="N110" r:id="rId13" xr:uid="{0EF615CA-BDF3-4A4E-8E2F-17C25B8C65B6}"/>
    <hyperlink ref="N221" r:id="rId14" xr:uid="{9715A389-CA68-40E5-B206-B713CAA3AFDB}"/>
    <hyperlink ref="N35" r:id="rId15" xr:uid="{76D3B745-0130-4921-AC81-38EF19FA1CFC}"/>
    <hyperlink ref="N78" r:id="rId16" xr:uid="{6AE6957B-B64D-45D0-9A2A-126B3DE56171}"/>
    <hyperlink ref="N263" r:id="rId17" xr:uid="{F8925059-4ABB-4524-A5EB-0EDE46CCCCE7}"/>
    <hyperlink ref="N31" r:id="rId18" xr:uid="{2584583D-D551-4E35-AF74-788A9CB8A2F7}"/>
    <hyperlink ref="N297" r:id="rId19" xr:uid="{24488129-2CA3-4F8A-9AAD-216A83532D5E}"/>
    <hyperlink ref="N273" r:id="rId20" xr:uid="{9BD4AD10-6AD9-4C09-AD08-3BA5CA425692}"/>
    <hyperlink ref="N91" r:id="rId21" xr:uid="{AD239620-8E97-40E8-BD70-B8A22A44F25F}"/>
    <hyperlink ref="N113" r:id="rId22" xr:uid="{D6B5F060-1F1A-4904-BA9E-050DBBA50663}"/>
    <hyperlink ref="N134" r:id="rId23" xr:uid="{56FDED4E-EDE5-46C8-A761-343E1C21CEB0}"/>
    <hyperlink ref="N294" r:id="rId24" xr:uid="{F3506258-D433-4120-A2DE-346359B6F12C}"/>
    <hyperlink ref="N67" r:id="rId25" xr:uid="{EDE1F9D0-5B56-425C-875C-3995C0516952}"/>
    <hyperlink ref="N24" r:id="rId26" xr:uid="{6E96207E-BB89-4EE8-9650-2193FDC5163A}"/>
    <hyperlink ref="N267" r:id="rId27" xr:uid="{871348C5-D035-4AA3-89DD-AA9A42DA2CF5}"/>
    <hyperlink ref="N285" r:id="rId28" xr:uid="{78A841F1-9C5D-4186-9EAD-517FC19E5B2A}"/>
    <hyperlink ref="N298" r:id="rId29" xr:uid="{F01E874C-3CE2-4DAC-891F-D13E0DC7F4EC}"/>
    <hyperlink ref="N296" r:id="rId30" xr:uid="{A0A5F483-25AB-4161-8818-D003DAE75BF1}"/>
    <hyperlink ref="N256" r:id="rId31" xr:uid="{EF44D39D-6B51-483A-B0EC-8863A75330E8}"/>
    <hyperlink ref="N25" r:id="rId32" xr:uid="{A9A1042B-AE92-4AC0-B8DB-B5B55C1A0BA2}"/>
    <hyperlink ref="N234" r:id="rId33" xr:uid="{F8CBB940-0664-44DF-93F3-D39B2A52898D}"/>
    <hyperlink ref="N284" r:id="rId34" xr:uid="{80FBA3D4-D64E-4B0F-9B16-2F6AC7408A20}"/>
    <hyperlink ref="N258" r:id="rId35" xr:uid="{EFECC907-ACF3-4271-A011-ED9208574EDE}"/>
    <hyperlink ref="N249" r:id="rId36" xr:uid="{3CB3268C-E23E-460A-9F4D-536F5D51FC8C}"/>
    <hyperlink ref="N65" r:id="rId37" xr:uid="{BCBEE0CF-E578-4AD3-9E8C-6CFCF0D59432}"/>
    <hyperlink ref="N282" r:id="rId38" xr:uid="{76778A28-CD41-4901-849B-11BA9F0C5B16}"/>
    <hyperlink ref="N269" r:id="rId39" display="mailto:kiki.tipunch@wanadoo.fr" xr:uid="{639B2158-7E3F-4572-9619-CF879CE89048}"/>
    <hyperlink ref="N250" r:id="rId40" xr:uid="{B696AADC-F687-41D8-B864-29759BD34873}"/>
    <hyperlink ref="N10" r:id="rId41" xr:uid="{37C657EE-FDB9-4D9F-92CB-BBD2F3799CBD}"/>
    <hyperlink ref="N108" r:id="rId42" xr:uid="{52E90969-0D36-4EA3-BC19-838A04C4A1B2}"/>
    <hyperlink ref="N253" r:id="rId43" xr:uid="{051C9254-827D-4B8E-83A2-48FF01126B3C}"/>
    <hyperlink ref="N248" r:id="rId44" display="duchenenicola@yahoo.fr " xr:uid="{D91A46B1-DC23-4818-8ECB-2D75F598A98D}"/>
    <hyperlink ref="N237" r:id="rId45" xr:uid="{0181ED66-B333-4E6E-9CAD-86496574B1E1}"/>
    <hyperlink ref="N126" r:id="rId46" xr:uid="{5A94C59B-4716-4EB5-8906-5C8416404B39}"/>
    <hyperlink ref="N305" r:id="rId47" xr:uid="{F2B82056-0A8E-4168-B8D2-632949172D27}"/>
    <hyperlink ref="N171" r:id="rId48" xr:uid="{D00111DF-DC64-4B2B-9AA5-F5EFED4BA826}"/>
    <hyperlink ref="N343" r:id="rId49" xr:uid="{EF99F147-784A-4DB1-9227-84D4B9935AE5}"/>
    <hyperlink ref="N295" r:id="rId50" xr:uid="{C7AA59FD-7101-4177-BA59-1FF997CE3E8B}"/>
    <hyperlink ref="N97" r:id="rId51" xr:uid="{EF98297A-CF65-40EE-929C-8DBFFC6D658D}"/>
    <hyperlink ref="N272" r:id="rId52" xr:uid="{F7CB7380-B822-4964-A808-42914F3082DD}"/>
    <hyperlink ref="N44" r:id="rId53" xr:uid="{714A26C8-5827-4E93-A686-3025C3CBFA3B}"/>
    <hyperlink ref="N260" r:id="rId54" xr:uid="{787662B6-6B79-4E77-9128-BE664AA43F79}"/>
    <hyperlink ref="N236" r:id="rId55" xr:uid="{34EAE0C3-06D2-4A75-9BED-975651C14719}"/>
    <hyperlink ref="N74" r:id="rId56" xr:uid="{3167A3C9-2D41-4EC8-ABB3-DD20FC2988A6}"/>
    <hyperlink ref="N172" r:id="rId57" xr:uid="{A73793B4-4FAB-43F2-91F3-AA394390CD9B}"/>
    <hyperlink ref="N259" r:id="rId58" xr:uid="{7F0093DF-AD9D-4A50-9F08-7922C67E9A14}"/>
    <hyperlink ref="N34" r:id="rId59" xr:uid="{BF4A3E56-54A8-4648-87E9-099865966A82}"/>
    <hyperlink ref="N251" r:id="rId60" xr:uid="{19EE745B-DF39-4F00-9795-BB74B8355EC6}"/>
    <hyperlink ref="N307" r:id="rId61" xr:uid="{B79B1A6A-BDA8-432C-AA70-8CE8E8B45581}"/>
    <hyperlink ref="N275" r:id="rId62" xr:uid="{36FC39B8-0C16-47E0-9A4F-54D06D267949}"/>
    <hyperlink ref="N43" r:id="rId63" xr:uid="{560D470A-8B6C-401A-B64E-DC6D2A12EA70}"/>
    <hyperlink ref="N467" r:id="rId64" display="erwanhubert@free.fr" xr:uid="{6E0F9EF8-146A-460E-B53F-07ECEDA6D347}"/>
    <hyperlink ref="N131" r:id="rId65" xr:uid="{CA27E86A-BFBE-4984-BD13-E46356A93F51}"/>
    <hyperlink ref="N128" r:id="rId66" xr:uid="{B543DC50-5EAE-4678-9E6A-C01ABBEBC226}"/>
    <hyperlink ref="N27" r:id="rId67" xr:uid="{0C6E7957-810C-4DEF-9291-DE4D6F34FEA8}"/>
    <hyperlink ref="N157" r:id="rId68" xr:uid="{14FFE68B-D2D7-49DD-8E1A-17A2044B2C14}"/>
    <hyperlink ref="N105" r:id="rId69" xr:uid="{3D9263FA-1EC2-4798-824C-53B3DEC7E5F1}"/>
    <hyperlink ref="N309" r:id="rId70" xr:uid="{A2BA06CD-AC4D-4088-8334-63F995F779C9}"/>
    <hyperlink ref="N167" r:id="rId71" xr:uid="{7F82E216-F3D3-4ED0-B9D2-7423367E7832}"/>
    <hyperlink ref="N301" r:id="rId72" xr:uid="{82DDB97D-45EC-438D-8313-08BC6A4CCB9A}"/>
    <hyperlink ref="N155" r:id="rId73" xr:uid="{4A1CF633-ECC4-449C-9C14-42C1AC592259}"/>
    <hyperlink ref="N103" r:id="rId74" xr:uid="{3036FD89-35EF-4C05-BDBD-05E4CF9CA085}"/>
    <hyperlink ref="N148" r:id="rId75" xr:uid="{6EA878F7-4195-4764-A9DD-0571F057CFF6}"/>
    <hyperlink ref="N18" r:id="rId76" xr:uid="{E3B96B32-1C10-4BE9-A0C4-AC6C955EFD48}"/>
    <hyperlink ref="N233" r:id="rId77" xr:uid="{DDF658E5-4656-443D-A5AF-7E7BEF6FDF67}"/>
    <hyperlink ref="N509" r:id="rId78" display="erwanhubert@free.fr" xr:uid="{93BCCA90-C652-43EF-8175-918467AC6480}"/>
    <hyperlink ref="N124" r:id="rId79" xr:uid="{CA46A446-A6F7-4747-9FE8-8E51FC1AF663}"/>
    <hyperlink ref="N98" r:id="rId80" xr:uid="{5315EC7B-4250-4544-93C2-8DF3A0DF2550}"/>
    <hyperlink ref="N117" r:id="rId81" xr:uid="{0309BD96-ED57-40EB-A6A3-520AB1DEB014}"/>
    <hyperlink ref="N132" r:id="rId82" xr:uid="{2B8C2B10-CA11-47F6-BE3F-B321BD45AD7A}"/>
    <hyperlink ref="N138" r:id="rId83" xr:uid="{3F412C75-CBFC-4957-B780-4AF6C472A11C}"/>
    <hyperlink ref="N247" r:id="rId84" xr:uid="{C34AC4B1-78DD-4481-A87E-EF7FC5E7E16A}"/>
    <hyperlink ref="N288" r:id="rId85" xr:uid="{4EC7A339-A64D-4357-86E3-1266806B34A7}"/>
    <hyperlink ref="N292" r:id="rId86" xr:uid="{B427C34D-1462-43A1-8684-73851C30FB19}"/>
    <hyperlink ref="N32" r:id="rId87" xr:uid="{CEDC9312-7C59-4693-A417-59027F19A956}"/>
    <hyperlink ref="N17" r:id="rId88" xr:uid="{70B25186-DBB3-41DF-988F-323DF9BFE4C4}"/>
    <hyperlink ref="N342" r:id="rId89" xr:uid="{23977766-BAEB-4BE7-A4FC-1E956664D878}"/>
    <hyperlink ref="N290" r:id="rId90" xr:uid="{3DF4BD05-BD08-4ED5-BD9A-9FB2B898AB13}"/>
    <hyperlink ref="N241" r:id="rId91" xr:uid="{9FB6A4BB-E06F-4B30-85E8-CF93DE0C2D2B}"/>
    <hyperlink ref="N261" r:id="rId92" xr:uid="{C2A6A99F-7F3F-4AA7-AD61-08BAD379A6B8}"/>
    <hyperlink ref="N45" r:id="rId93" xr:uid="{E1420279-DCC6-4609-864B-6CAAFB4F8920}"/>
    <hyperlink ref="N338" r:id="rId94" xr:uid="{5F801979-1905-4050-A8CA-349B72A59D46}"/>
    <hyperlink ref="N88" r:id="rId95" xr:uid="{7091064E-438C-4728-B94B-35A4E1D70920}"/>
    <hyperlink ref="N346" r:id="rId96" xr:uid="{54AC1F8C-BB85-490B-8556-E8AC10C27A71}"/>
    <hyperlink ref="N289" r:id="rId97" xr:uid="{12CCB00B-B86F-4E3B-B632-4F6491721170}"/>
    <hyperlink ref="N192" r:id="rId98" xr:uid="{8DC09B36-BBDA-4D68-B237-2870859D3D69}"/>
    <hyperlink ref="N551" r:id="rId99" display="erwanhubert@free.fr" xr:uid="{D62EC142-109B-41F9-832F-5D25B5A3C42D}"/>
    <hyperlink ref="N262" r:id="rId100" xr:uid="{F10CB271-9367-4BDC-B2CC-9D7D3C52BACF}"/>
    <hyperlink ref="N190" r:id="rId101" xr:uid="{E38A751E-94B1-495C-BF41-72DBD7F54E89}"/>
    <hyperlink ref="N218" r:id="rId102" xr:uid="{65793F22-FA23-4FA7-B249-E90D40956406}"/>
    <hyperlink ref="N137" r:id="rId103" xr:uid="{F45AE208-8D23-4345-BFD3-42323816F88B}"/>
    <hyperlink ref="N345" r:id="rId104" xr:uid="{9675D4AE-3313-43D7-B07D-AE2F61341D47}"/>
    <hyperlink ref="N37" r:id="rId105" xr:uid="{E53DE693-EF00-4BFE-91AC-51EFD8101AA5}"/>
    <hyperlink ref="N287" r:id="rId106" xr:uid="{7714148E-2135-4B87-A823-23CA7A15FEE9}"/>
    <hyperlink ref="N85" r:id="rId107" xr:uid="{49877B2C-F1AC-4AEE-A6B3-4B3DAB54D856}"/>
    <hyperlink ref="N339" r:id="rId108" xr:uid="{71E3E4CC-BDAE-4362-AB6A-125159ACEF19}"/>
    <hyperlink ref="N242" r:id="rId109" xr:uid="{0050C649-D9B9-4A8C-88D2-4227CB5660EB}"/>
    <hyperlink ref="N150" r:id="rId110" display="mailto:sandra@rudelwohl-zach.de" xr:uid="{CEFBC931-F0C1-49F7-966A-6AAEA4A755D6}"/>
    <hyperlink ref="N93" r:id="rId111" xr:uid="{8A0B74A9-214A-472C-BCB6-F50E0837754B}"/>
    <hyperlink ref="N146" r:id="rId112" xr:uid="{C8AEA3BB-7793-4E3D-8893-0C8CC7797B98}"/>
    <hyperlink ref="N100" r:id="rId113" xr:uid="{FAB23461-6494-4408-9B37-E08ED4701BB5}"/>
    <hyperlink ref="N54" r:id="rId114" xr:uid="{5CAB6589-395B-4325-93B6-8874E3A6262C}"/>
    <hyperlink ref="N299" r:id="rId115" xr:uid="{C06B6DDF-CB50-4994-A053-D189C12CF733}"/>
    <hyperlink ref="N231" r:id="rId116" xr:uid="{8B366CFB-DC53-4A95-8D20-CFB2D0102C11}"/>
    <hyperlink ref="L349" r:id="rId117" display="tel:+4915115307260" xr:uid="{5F8F6353-22A2-426A-B0F0-3482F1B8400B}"/>
    <hyperlink ref="N64" r:id="rId118" display="mailto:gmmanzi@aol.com" xr:uid="{518F1A4F-4556-4D87-857A-724C448F784A}"/>
    <hyperlink ref="N96" r:id="rId119" xr:uid="{AEF8D962-B9AF-4753-AF43-A5AABB57525F}"/>
    <hyperlink ref="N283" r:id="rId120" xr:uid="{D22F292F-A2D9-4838-AE34-7D1688342DD1}"/>
    <hyperlink ref="N47" r:id="rId121" xr:uid="{8E2FEE4F-F157-466B-B0B7-C5E9BC3A9D62}"/>
    <hyperlink ref="N349" r:id="rId122" xr:uid="{51E2DA7A-F73C-4634-84DC-B6EB4210FD6A}"/>
    <hyperlink ref="N159" r:id="rId123" xr:uid="{D0DA5A43-F122-4BE5-9247-F796CD5784C8}"/>
    <hyperlink ref="N141" r:id="rId124" xr:uid="{8F99EFBE-7BEF-400B-81DE-75C8B051AD1F}"/>
    <hyperlink ref="N130" r:id="rId125" xr:uid="{3D5872C9-AEBF-4BCA-8F73-C282FFFF1633}"/>
    <hyperlink ref="N55" r:id="rId126" xr:uid="{164A8D9A-2AB9-4414-991C-5FD9916E56AB}"/>
    <hyperlink ref="N173" r:id="rId127" xr:uid="{D2A02115-990A-4B54-84F9-E94FA309967D}"/>
    <hyperlink ref="N121" r:id="rId128" xr:uid="{29FAFDC6-7AB9-4A5D-904D-BE78D0D1475C}"/>
    <hyperlink ref="N89" r:id="rId129" xr:uid="{8A8EBB6F-EAFD-46F9-A694-4982402E2488}"/>
    <hyperlink ref="N8" r:id="rId130" xr:uid="{FD3519AC-A36E-4211-9CC0-F2358E5FBC59}"/>
    <hyperlink ref="N243" r:id="rId131" xr:uid="{99F49174-7457-43E0-A19B-F2B049B37E8A}"/>
    <hyperlink ref="N75" r:id="rId132" xr:uid="{BCFE55D5-91C5-4413-A0B7-C8E43ECC6A26}"/>
    <hyperlink ref="N114" r:id="rId133" xr:uid="{A7B45022-69D7-413B-A3B8-A42A75C45D5C}"/>
    <hyperlink ref="N125" r:id="rId134" xr:uid="{52D269AB-EC4B-4B7D-A009-57041A7E6D33}"/>
    <hyperlink ref="N28" r:id="rId135" xr:uid="{74EE2908-4C82-48E3-8958-841EFEBA1E93}"/>
    <hyperlink ref="N147" r:id="rId136" xr:uid="{926C509D-E69A-4852-9E63-CB5E3D6AA24E}"/>
    <hyperlink ref="N48" r:id="rId137" xr:uid="{A50677D7-F6F0-4BDC-B16E-6C6F34B20512}"/>
    <hyperlink ref="N161" r:id="rId138" xr:uid="{FB8B39B2-D6DF-416B-A72F-1FAD8C0D323C}"/>
    <hyperlink ref="N16" r:id="rId139" xr:uid="{7C3E93FC-2CAB-4107-AE7B-032D6257833F}"/>
    <hyperlink ref="N303" r:id="rId140" xr:uid="{7CA4F161-78D9-48BC-8E44-B382F1BC240B}"/>
    <hyperlink ref="N22" r:id="rId141" xr:uid="{FBB315A9-159B-494B-98E7-F6E536E7C363}"/>
    <hyperlink ref="N271" r:id="rId142" xr:uid="{76F6D869-EE28-4DCB-8325-074DD5D56BBE}"/>
    <hyperlink ref="N291" r:id="rId143" xr:uid="{E3DB492E-AB22-44BE-A5B7-F447108EA6A6}"/>
    <hyperlink ref="N174" r:id="rId144" xr:uid="{B2DE7876-322A-4E05-B262-D28DC964814B}"/>
    <hyperlink ref="N118" r:id="rId145" xr:uid="{41E11328-454A-4B1B-8202-15017018BCCC}"/>
    <hyperlink ref="N244" r:id="rId146" xr:uid="{4982A708-BE39-4F75-A3B7-8259ECC4EB53}"/>
    <hyperlink ref="N39" r:id="rId147" xr:uid="{9723D557-2151-4A2C-A33C-E53A40225401}"/>
    <hyperlink ref="N344" r:id="rId148" xr:uid="{6F2F7EE9-414B-44F7-B31E-F2BE68454072}"/>
    <hyperlink ref="N106" r:id="rId149" xr:uid="{D4BD0FE4-12F0-4260-BF17-E7F6BEEBF9AF}"/>
    <hyperlink ref="N109" r:id="rId150" xr:uid="{286AF5A6-00DD-425A-AD3E-DCB65E13832F}"/>
    <hyperlink ref="N163" r:id="rId151" xr:uid="{5CF51AFD-1826-43DC-AFB5-5569251995FC}"/>
    <hyperlink ref="N122" r:id="rId152" xr:uid="{D5E5A662-EDA5-4F93-A1FC-D6A15C9FF21B}"/>
    <hyperlink ref="N107" r:id="rId153" xr:uid="{47FA2E9B-1B1B-45FE-B3B7-09F8986D39F6}"/>
    <hyperlink ref="N33" r:id="rId154" xr:uid="{0AFCBDF1-A632-4F4A-80B2-8C16D90A5B71}"/>
    <hyperlink ref="N194" r:id="rId155" xr:uid="{0DE0714A-8A97-41D0-8873-95C404F94732}"/>
    <hyperlink ref="N154" r:id="rId156" xr:uid="{50E916CA-7F3D-42BA-A5BE-9C85C2E6F6DA}"/>
    <hyperlink ref="N151" r:id="rId157" xr:uid="{C1DB34EE-C0DC-4077-8BAF-1E677CA55188}"/>
    <hyperlink ref="N40" r:id="rId158" xr:uid="{88186E29-8DE6-4D3C-866D-D1C8B6EB4B1A}"/>
    <hyperlink ref="N41" r:id="rId159" xr:uid="{BEEA6D1D-3B5B-4500-A1EB-4C239E18DDC4}"/>
    <hyperlink ref="N86" r:id="rId160" xr:uid="{B2AE18F0-721E-4F0E-BC3B-8563354BBFEB}"/>
    <hyperlink ref="N29" r:id="rId161" xr:uid="{57B8E4DE-BCAC-42BC-AF63-4AF3A28023DE}"/>
    <hyperlink ref="N274" r:id="rId162" xr:uid="{2F3F1399-3653-47EE-A789-7D9903EDB125}"/>
    <hyperlink ref="N111" r:id="rId163" xr:uid="{2753B909-9F69-4E46-9086-56845C57BDA1}"/>
    <hyperlink ref="N300" r:id="rId164" xr:uid="{B583CA56-DFA8-4AAE-9CCA-05D0D1675B3C}"/>
    <hyperlink ref="N257" r:id="rId165" xr:uid="{7AAABEE2-EAFB-4641-BFA4-DE1E774BBCD6}"/>
    <hyperlink ref="N164" r:id="rId166" xr:uid="{BF2F3D4A-6DDD-40B9-B862-480D2379E1E2}"/>
    <hyperlink ref="N175" r:id="rId167" xr:uid="{78E31FA8-D5AE-4E0B-B449-7E079DC44044}"/>
    <hyperlink ref="N310" r:id="rId168" xr:uid="{6E33AE19-C3A2-4681-8DDD-5F199511242F}"/>
    <hyperlink ref="N313" r:id="rId169" xr:uid="{5F9CB9DA-8E2D-4A8A-8EEC-D6C13367889D}"/>
    <hyperlink ref="N133" r:id="rId170" xr:uid="{A84E7BA7-81EC-4E3A-8FFF-91086368E8F8}"/>
    <hyperlink ref="N286" r:id="rId171" xr:uid="{AB07D3F3-3D7C-4294-B9AB-C54C9735C3D8}"/>
    <hyperlink ref="N66" r:id="rId172" xr:uid="{567908D6-9BA2-48B4-B210-2EEEA9038067}"/>
    <hyperlink ref="N59" r:id="rId173" xr:uid="{F669A263-0B58-4855-8FFC-73FF717CF9DC}"/>
    <hyperlink ref="N58" r:id="rId174" xr:uid="{99BB57F8-B66C-482B-AC6E-AFF51780B145}"/>
    <hyperlink ref="N51" r:id="rId175" xr:uid="{7769F993-65B4-4FE7-848A-8386DF489D0B}"/>
    <hyperlink ref="N80" r:id="rId176" xr:uid="{5C7F9C18-39EB-4CB8-A9EA-C4156B819BBE}"/>
    <hyperlink ref="N11" r:id="rId177" xr:uid="{E1B31878-5AB3-464F-B9F0-868649CE1A78}"/>
    <hyperlink ref="N72" r:id="rId178" xr:uid="{044A410A-C5EE-4589-BC04-2A9B0EBE1C21}"/>
    <hyperlink ref="N268" r:id="rId179" xr:uid="{25109370-5BD7-46A1-97A1-0912E2136EBC}"/>
    <hyperlink ref="N77" r:id="rId180" xr:uid="{DC7D1DB2-D31E-4C8B-AB4D-885C3191BF0E}"/>
    <hyperlink ref="N6" r:id="rId181" xr:uid="{C14BFBA1-2C8C-4DDF-ABA8-903D2DBBBD87}"/>
    <hyperlink ref="N139" r:id="rId182" xr:uid="{6EC11013-5A35-497C-A432-6D28CD19F4DA}"/>
    <hyperlink ref="N60" r:id="rId183" xr:uid="{C8053BFF-832A-4C6D-9238-AC7C7C5F169C}"/>
    <hyperlink ref="N165" r:id="rId184" xr:uid="{145158FF-BA37-4397-8DC5-9BA3C4B3426A}"/>
    <hyperlink ref="N223" r:id="rId185" xr:uid="{F39AE0FF-8543-4F4B-93A8-61FC20F9D1D9}"/>
    <hyperlink ref="N178" r:id="rId186" xr:uid="{3C4EAAF9-390B-4678-99B9-9D45AD2C3C6B}"/>
    <hyperlink ref="N169" r:id="rId187" xr:uid="{4AF102F6-BBEC-4BAE-9AAD-5EFC4B467EC0}"/>
    <hyperlink ref="N191" r:id="rId188" xr:uid="{F4BD245E-AB80-4484-B36B-0B2977FA5A1B}"/>
    <hyperlink ref="N156" r:id="rId189" xr:uid="{9ABBB543-AFC2-47CA-A5CC-57A8D5FD4E85}"/>
    <hyperlink ref="N179" r:id="rId190" xr:uid="{BD9A8B9D-38B3-4C10-9228-EB2C42B207C6}"/>
    <hyperlink ref="N186" r:id="rId191" display="mailto:ursstirnemann@bluewin.ch" xr:uid="{AE9E8BC7-B39B-4926-9132-970AA6719117}"/>
    <hyperlink ref="N84" r:id="rId192" xr:uid="{800F5BEA-874C-4308-9590-A3A4F3F38A15}"/>
    <hyperlink ref="N246" r:id="rId193" xr:uid="{08193E5A-8F82-42B4-B67C-86517A9FCA50}"/>
    <hyperlink ref="N90" r:id="rId194" xr:uid="{22F79E93-B412-455C-86EE-3A0D376C66DF}"/>
    <hyperlink ref="N46" r:id="rId195" xr:uid="{70F8CD6D-FA04-4006-B5F4-2549D260A060}"/>
    <hyperlink ref="N3" r:id="rId196" display="mailto:auftrittebert@aol.com" xr:uid="{6EFA37D9-93CC-4BB6-9D26-9EFBD2037ADA}"/>
    <hyperlink ref="N50" r:id="rId197" xr:uid="{FBD684A0-5147-4DCA-87DB-D564BEFDF33D}"/>
    <hyperlink ref="N42" r:id="rId198" xr:uid="{7D9CDD50-C492-4116-B1AB-900AD763CDBF}"/>
    <hyperlink ref="N149" r:id="rId199" display="mailto:sandra@rudelwohl-zach.de" xr:uid="{F81875C9-75DD-4E29-A5E6-6634CAC9BC83}"/>
    <hyperlink ref="N92" r:id="rId200" xr:uid="{88B9C0E4-EEBD-4BAC-AE82-690B84220195}"/>
    <hyperlink ref="N304" r:id="rId201" xr:uid="{8BE6BF91-6270-478D-A24C-472434683339}"/>
    <hyperlink ref="N99" r:id="rId202" xr:uid="{293FE67C-673B-4A19-B831-E90F49769420}"/>
    <hyperlink ref="N53" r:id="rId203" xr:uid="{D34E7C4D-E8CA-48EF-AFA6-51664A14F4F5}"/>
    <hyperlink ref="N143" r:id="rId204" xr:uid="{4558A0AA-B012-4862-9220-9274211AB6D9}"/>
    <hyperlink ref="N350" r:id="rId205" xr:uid="{0BDBB138-1211-48C5-AB6E-461FD3E4DA6F}"/>
    <hyperlink ref="N63" r:id="rId206" display="mailto:gmmanzi@aol.com" xr:uid="{8D1C3029-3040-41FF-A0BF-A360F56864CE}"/>
    <hyperlink ref="N341" r:id="rId207" xr:uid="{F0B773FC-0812-4880-B48C-AA51DF6FFF9D}"/>
    <hyperlink ref="N216" r:id="rId208" xr:uid="{4A939689-E720-4FA0-AFFF-87DE544D0C81}"/>
    <hyperlink ref="N252" r:id="rId209" xr:uid="{A975D7C2-03DF-41E0-A405-9CED0B1EB571}"/>
    <hyperlink ref="N222" r:id="rId210" xr:uid="{2F87E878-F006-49EE-B4C5-8822EF26F16B}"/>
    <hyperlink ref="N158" r:id="rId211" xr:uid="{86249443-2E1F-4814-9047-2E9FA62B504B}"/>
    <hyperlink ref="N140" r:id="rId212" xr:uid="{3D290E5D-7164-415D-8DC0-4A00C466A7AD}"/>
    <hyperlink ref="N254" r:id="rId213" xr:uid="{5D9053B7-C8D2-47CB-B05E-1543CEC4E3AF}"/>
    <hyperlink ref="N352" r:id="rId214" xr:uid="{FFEBA8B7-8CEC-4368-A053-EBD1BE6549FB}"/>
    <hyperlink ref="N120" r:id="rId215" xr:uid="{D4FA6894-44F2-4C62-BEC2-427B56C1BE7C}"/>
    <hyperlink ref="N276" r:id="rId216" xr:uid="{E719C57E-7187-4709-AD0D-744EA0F0C98B}"/>
    <hyperlink ref="N14" r:id="rId217" xr:uid="{197F6C31-CA43-4CA8-9D50-1EB3C80E5699}"/>
    <hyperlink ref="N279" r:id="rId218" xr:uid="{51447010-C304-4809-9566-F452BA4D2440}"/>
    <hyperlink ref="N270" r:id="rId219" xr:uid="{C7B13FD6-9EC2-4121-9B64-7A0965F01E0A}"/>
    <hyperlink ref="N61" r:id="rId220" xr:uid="{D3A153ED-9332-47AC-BB6B-690EE8F85A95}"/>
    <hyperlink ref="N129" r:id="rId221" xr:uid="{C16EA314-8A2C-4DB3-8BDE-B72374D8F310}"/>
    <hyperlink ref="N20" r:id="rId222" xr:uid="{B6E934C8-345B-46D7-87B6-E0847A530D3E}"/>
    <hyperlink ref="N101" r:id="rId223" xr:uid="{9B46D33D-3412-4B77-A1AF-707C5B012949}"/>
    <hyperlink ref="N308" r:id="rId224" xr:uid="{2D89A72A-70B1-4A48-BA35-F6DA505B7103}"/>
    <hyperlink ref="N166" r:id="rId225" xr:uid="{C13784D6-509D-4724-B1BA-C8CCDFED8A52}"/>
    <hyperlink ref="N176" r:id="rId226" xr:uid="{665401F9-D884-4BB8-99E5-0FE3ACF9BF6A}"/>
    <hyperlink ref="N184" r:id="rId227" xr:uid="{7E6A3F12-FF17-4525-A656-930789DA61D7}"/>
    <hyperlink ref="N81" r:id="rId228" xr:uid="{DA11E0C9-8351-426F-8B4B-B7E820CA8580}"/>
    <hyperlink ref="N162" r:id="rId229" xr:uid="{10004057-9026-4602-B6CE-ADEFF62E1677}"/>
    <hyperlink ref="N104" r:id="rId230" xr:uid="{A6678ACA-DA0C-4809-AB80-97114B1B15F9}"/>
    <hyperlink ref="N119" r:id="rId231" xr:uid="{D7BE1584-8CE5-42CA-A98B-4C003F5DBD6E}"/>
    <hyperlink ref="N168" r:id="rId232" xr:uid="{92E8A78C-5DE2-4034-9E52-ADA33C74F14C}"/>
    <hyperlink ref="N82" r:id="rId233" xr:uid="{8490961C-81D6-415D-A824-97978441B40D}"/>
    <hyperlink ref="N144" r:id="rId234" xr:uid="{A86A9303-11E4-46B5-9310-F5FAFD6E8D98}"/>
    <hyperlink ref="N30" r:id="rId235" xr:uid="{38333DD5-CFD5-44C1-AB4A-3A1BF914DC98}"/>
    <hyperlink ref="N73" r:id="rId236" xr:uid="{A6DFB00A-AAD2-4224-90A0-27A9F5D8AF52}"/>
    <hyperlink ref="N4" r:id="rId237" display="mailto:auftrittebert@aol.com" xr:uid="{7F2529CC-D1AA-4BF4-83FC-982ED50AF451}"/>
    <hyperlink ref="N21" r:id="rId238" xr:uid="{711DC2E9-48D3-48CF-AF73-D02757F8FF22}"/>
    <hyperlink ref="N180" r:id="rId239" xr:uid="{9EDB72DC-33E3-4D41-8354-48629E66712C}"/>
    <hyperlink ref="N265" r:id="rId240" xr:uid="{48183E70-34FF-4C4A-8974-2948A60BB0B8}"/>
    <hyperlink ref="N38" r:id="rId241" xr:uid="{E4659EFC-3E94-4C20-B0AA-1745BAAF0500}"/>
    <hyperlink ref="N116" r:id="rId242" xr:uid="{2625D1D1-1CA1-486E-80A2-F910A33B751A}"/>
    <hyperlink ref="N245" r:id="rId243" xr:uid="{CE6F3D7B-41C0-4DC7-94C0-B38693B5D7AA}"/>
    <hyperlink ref="N15" r:id="rId244" xr:uid="{D7B4E61B-83E0-473F-9AAB-216D018B608C}"/>
    <hyperlink ref="N79" r:id="rId245" xr:uid="{FE3D95BC-C8D5-48F3-A0E7-D1BA242F127B}"/>
    <hyperlink ref="N188" r:id="rId246" xr:uid="{2D5B9885-3378-4EFB-9B51-6FFBBAF52175}"/>
    <hyperlink ref="N123" r:id="rId247" xr:uid="{AC9DCEEE-7550-46B2-AAE6-F0ACB32E34E4}"/>
    <hyperlink ref="N115" r:id="rId248" xr:uid="{EF480124-1A0F-4983-B820-7F380065D2EE}"/>
    <hyperlink ref="N52" r:id="rId249" xr:uid="{ADA4AEA9-9843-4597-9679-BB73AED0D536}"/>
    <hyperlink ref="N7" r:id="rId250" xr:uid="{57520CB9-CB5B-4BDA-8D78-0E5CC09AFF2C}"/>
    <hyperlink ref="N68" r:id="rId251" xr:uid="{1A584B46-9383-4099-B80A-647541E78DCF}"/>
    <hyperlink ref="N87" r:id="rId252" xr:uid="{1CFB0ADF-9B13-4D56-BBE7-0716AE91BD4A}"/>
    <hyperlink ref="N177" r:id="rId253" xr:uid="{03B2E9A8-B53C-4DDA-9694-41B00E0B8162}"/>
    <hyperlink ref="N62" r:id="rId254" xr:uid="{028602BF-20E8-4418-B25B-EFF076DA4A65}"/>
    <hyperlink ref="N49" r:id="rId255" xr:uid="{82F3C2E0-AB14-4BA3-B904-C3511CC406BB}"/>
    <hyperlink ref="N182" r:id="rId256" xr:uid="{73784D8C-58DD-4654-8D26-92193DEBFEAE}"/>
    <hyperlink ref="N217" r:id="rId257" xr:uid="{AB709A72-DD39-4337-8D5E-866D98203D50}"/>
    <hyperlink ref="N181" r:id="rId258" xr:uid="{9301CEA0-F0AF-4E1C-AC64-01EE56EA3F6F}"/>
    <hyperlink ref="N102" r:id="rId259" xr:uid="{D6643C47-DFCA-4A55-BFAB-7A4C83C259F5}"/>
    <hyperlink ref="N69" r:id="rId260" xr:uid="{EFBD069E-E25A-4AED-A960-E96DB3A094FD}"/>
    <hyperlink ref="N136" r:id="rId261" xr:uid="{DD53A62A-5D8F-4676-8088-6CDF76FB5D3C}"/>
    <hyperlink ref="N12" r:id="rId262" xr:uid="{E08E1149-3A28-4133-BF43-6970E6A73046}"/>
    <hyperlink ref="N83" r:id="rId263" xr:uid="{460BC808-D403-46A3-829F-A6CB14560373}"/>
    <hyperlink ref="N36" r:id="rId264" display="mailto:claudia101175@yahoo.de" xr:uid="{EDDBEA0F-B2E0-4B61-961E-15EBCC363393}"/>
    <hyperlink ref="N71" r:id="rId265" xr:uid="{35126548-37C1-4388-A7CB-81BF001ED783}"/>
    <hyperlink ref="N26" r:id="rId266" xr:uid="{1BAB4255-9E55-428A-B0EC-37CDECC81C7A}"/>
    <hyperlink ref="AB138" r:id="rId267" xr:uid="{D4CCA2E4-83EA-4248-8A34-3545A0BAED44}"/>
    <hyperlink ref="AB186" r:id="rId268" xr:uid="{6D0ACBFA-6E5F-479C-9FEB-F2991305B56B}"/>
    <hyperlink ref="AB20" r:id="rId269" xr:uid="{1EB8E85E-58C3-4FD8-90EE-364C55DE9C30}"/>
    <hyperlink ref="AB124" r:id="rId270" xr:uid="{A25D0102-C9E6-44B5-9762-CF6806022FC1}"/>
    <hyperlink ref="AB16" r:id="rId271" xr:uid="{F36FF18C-9389-4D6F-876B-F04AC19000E3}"/>
    <hyperlink ref="AB107" r:id="rId272" xr:uid="{B3267892-3E89-4AE3-A9C0-80D20BCCFF55}"/>
    <hyperlink ref="AB32" r:id="rId273" xr:uid="{1AECC545-E61B-4B75-A8CF-DFD14F17B167}"/>
    <hyperlink ref="AB75" r:id="rId274" xr:uid="{D271AB34-5DD2-405F-B661-B6D7E540709B}"/>
    <hyperlink ref="AB28" r:id="rId275" xr:uid="{EE88443A-A987-416D-8249-4CFC2510C5ED}"/>
    <hyperlink ref="AB88" r:id="rId276" xr:uid="{368D6FD4-6CDC-4721-8509-29CB4E1D0F7A}"/>
    <hyperlink ref="AB110" r:id="rId277" xr:uid="{9AF37B8C-F650-4F1E-B06D-654AAF6987D5}"/>
    <hyperlink ref="AB131" r:id="rId278" xr:uid="{3640B8BA-DC27-4507-A925-AA465684F761}"/>
    <hyperlink ref="AB64" r:id="rId279" xr:uid="{BA8A2F52-1BFF-43AC-8B18-1A5C7B4A7F8B}"/>
    <hyperlink ref="AB21" r:id="rId280" xr:uid="{28E1FC46-77D8-4D25-B2A2-CA5F56C7D192}"/>
    <hyperlink ref="AB22" r:id="rId281" xr:uid="{5548C05C-BFB6-4CCD-A55C-8F9D3E6C9D70}"/>
    <hyperlink ref="AB61" r:id="rId282" xr:uid="{BE77DDB1-29FC-4672-A1C5-284D26173840}"/>
    <hyperlink ref="AB6" r:id="rId283" xr:uid="{77E17541-DC8C-450C-9B80-BD3EB11CD2F3}"/>
    <hyperlink ref="AB105" r:id="rId284" xr:uid="{C2637408-8929-4E40-8866-FC3B7C20D91D}"/>
    <hyperlink ref="AB123" r:id="rId285" xr:uid="{52536E60-C5ED-4038-932E-4B4BD87F61E0}"/>
    <hyperlink ref="AB168" r:id="rId286" xr:uid="{2A873C0F-A328-40AE-90C4-F7ECE451D20C}"/>
    <hyperlink ref="AB94" r:id="rId287" xr:uid="{A03755A6-A57F-4800-A59C-B6FB1021379F}"/>
    <hyperlink ref="AB41" r:id="rId288" xr:uid="{67F3AD45-4BA5-4A04-B642-DA369C5F8A2D}"/>
    <hyperlink ref="AB71" r:id="rId289" xr:uid="{9B27B326-4C29-402C-A8DF-6EBFC3432809}"/>
    <hyperlink ref="AB169" r:id="rId290" xr:uid="{04BC96C5-D381-4FA5-9A19-7BA4A2F34E07}"/>
    <hyperlink ref="AB31" r:id="rId291" xr:uid="{68954A7A-3FCC-484D-94D8-38B81C4B2FD7}"/>
    <hyperlink ref="AB40" r:id="rId292" xr:uid="{9263587D-F1D6-4179-98D7-B484C3194B7E}"/>
    <hyperlink ref="AB128" r:id="rId293" xr:uid="{9386810F-7EEB-43FF-B10B-50AB2CB8CE62}"/>
    <hyperlink ref="AB125" r:id="rId294" xr:uid="{BC81BAFA-7D76-4A16-B0E8-AF1E95534A3C}"/>
    <hyperlink ref="AB24" r:id="rId295" xr:uid="{9684D9F3-7759-4832-905D-7352FD36B7BA}"/>
    <hyperlink ref="AB154" r:id="rId296" xr:uid="{168D5492-B914-45E6-85A3-5896F75C0B97}"/>
    <hyperlink ref="AB102" r:id="rId297" xr:uid="{D594868E-D6DF-4A0E-867E-D5528D8B07E5}"/>
    <hyperlink ref="AB162" r:id="rId298" xr:uid="{81484FA6-D00B-483E-ADE6-FBFC5D34E907}"/>
    <hyperlink ref="AB152" r:id="rId299" xr:uid="{5F8D086B-8C02-4DED-95F9-FFC378DD22D7}"/>
    <hyperlink ref="AB100" r:id="rId300" xr:uid="{47B2A914-4250-4CAF-9B34-FED6DEC9B942}"/>
    <hyperlink ref="AB144" r:id="rId301" xr:uid="{391C11FF-7272-4582-93E5-E247D9F9FA32}"/>
    <hyperlink ref="AB15" r:id="rId302" xr:uid="{DDC458FF-160F-42F9-88F0-FB7CDCD3301E}"/>
    <hyperlink ref="AB121" r:id="rId303" xr:uid="{B5927B4E-66C9-4544-A716-73268C2E7B2A}"/>
    <hyperlink ref="AB95" r:id="rId304" xr:uid="{4B5B902D-4C26-4044-82A4-1ACC40F9E781}"/>
    <hyperlink ref="AB114" r:id="rId305" xr:uid="{F7741C5E-56EC-4084-96A5-1A0461776FFB}"/>
    <hyperlink ref="AB129" r:id="rId306" xr:uid="{29AD9E16-F781-444B-98D7-E951F0A20512}"/>
    <hyperlink ref="AB135" r:id="rId307" xr:uid="{3CAD9506-3C0F-4362-A639-39885990A168}"/>
    <hyperlink ref="AB29" r:id="rId308" xr:uid="{FC1B1FD9-1B69-49F6-AD8B-9442AAD4F7EB}"/>
    <hyperlink ref="AB13" r:id="rId309" xr:uid="{3A5EAEEA-8124-49BF-8634-32593CE7859E}"/>
    <hyperlink ref="AB42" r:id="rId310" xr:uid="{D8379102-D2E4-4BC8-97C5-72A964FE8E1E}"/>
    <hyperlink ref="AB85" r:id="rId311" xr:uid="{C28D1D24-C009-4D57-BB61-C66B7B394F1B}"/>
    <hyperlink ref="AB189" r:id="rId312" xr:uid="{C922E550-61B7-4CF2-B81A-83140C68E81F}"/>
    <hyperlink ref="AB187" r:id="rId313" xr:uid="{E2B209FA-6767-4547-A5E5-535DACBEFC37}"/>
    <hyperlink ref="AB134" r:id="rId314" xr:uid="{90B1AB13-2435-4DDA-8AAA-7FBB7D240B22}"/>
    <hyperlink ref="AB34" r:id="rId315" xr:uid="{FCBA7865-B1C6-46EF-92D1-3CA168238E4B}"/>
    <hyperlink ref="AB82" r:id="rId316" xr:uid="{0F7E105F-0055-471F-BF40-5C87327CFAAF}"/>
    <hyperlink ref="AB148" r:id="rId317" display="mailto:sandra@rudelwohl-zach.de" xr:uid="{0EA295C1-31A4-45C7-86DB-8F6E93A49546}"/>
    <hyperlink ref="AB91" r:id="rId318" xr:uid="{D484DD25-9E1A-4F9E-AABC-3C927A76EB6B}"/>
    <hyperlink ref="AB143" r:id="rId319" xr:uid="{98EC63D8-76D7-4C11-876E-7ACFDFDE96FB}"/>
    <hyperlink ref="AB98" r:id="rId320" xr:uid="{153537E4-C8F4-41DF-A3C9-07B64D92DE0D}"/>
    <hyperlink ref="AB52" r:id="rId321" xr:uid="{4FFDE94D-0B52-4680-930A-B60E45AB8D2F}"/>
    <hyperlink ref="AB62" r:id="rId322" display="mailto:gmmanzi@aol.com" xr:uid="{99225242-841C-4003-931F-751B38194AF6}"/>
    <hyperlink ref="AB93" r:id="rId323" xr:uid="{B3721BDD-921E-430C-8B36-25D35A58B9BD}"/>
    <hyperlink ref="AB44" r:id="rId324" xr:uid="{FF26BC39-595D-44F7-9C91-850594616AFF}"/>
    <hyperlink ref="AB157" r:id="rId325" xr:uid="{3452800E-696D-486D-862A-5C332938EB73}"/>
    <hyperlink ref="AB139" r:id="rId326" xr:uid="{14B86CE5-1488-4595-AAD5-4145FBB1BEDE}"/>
    <hyperlink ref="AB127" r:id="rId327" xr:uid="{8C94D8CF-4F17-4AC2-865F-14AB38CCDCB1}"/>
    <hyperlink ref="AB51" r:id="rId328" xr:uid="{86FD1462-34F7-43F4-8796-E92357E0C3AF}"/>
    <hyperlink ref="AB170" r:id="rId329" xr:uid="{3BA04ED3-0336-4455-8EB9-FCC87736221B}"/>
    <hyperlink ref="AB119" r:id="rId330" xr:uid="{0CE361A3-0342-4C55-BB64-0F52BFD367BA}"/>
    <hyperlink ref="AB86" r:id="rId331" xr:uid="{ADDCABBC-04D6-46A0-8F16-5BDC2237C15E}"/>
    <hyperlink ref="AB3" r:id="rId332" xr:uid="{33BC61C7-F546-40EF-A50C-291F5B4598A1}"/>
    <hyperlink ref="AB73" r:id="rId333" xr:uid="{8100BB77-4E73-4CD5-A67C-7E20E797D968}"/>
    <hyperlink ref="AB111" r:id="rId334" xr:uid="{39DF794C-F1E6-4FA3-A2A2-C748DCB0534B}"/>
    <hyperlink ref="AB122" r:id="rId335" xr:uid="{CE98D159-3A41-430C-85E8-C894BE8C69F5}"/>
    <hyperlink ref="AB25" r:id="rId336" xr:uid="{ECCC5FFD-3A71-45C3-AC18-B9EF6F8FE1B9}"/>
    <hyperlink ref="AB145" r:id="rId337" xr:uid="{330B16EF-64FE-42AD-858B-84477BC13E35}"/>
    <hyperlink ref="AB45" r:id="rId338" xr:uid="{4ACD375C-C928-4CFA-911A-03AA5E406D84}"/>
    <hyperlink ref="AB158" r:id="rId339" xr:uid="{53115BEF-85F7-4FAD-8FB9-2037084ED8C4}"/>
    <hyperlink ref="AB12" r:id="rId340" xr:uid="{5118D718-48E5-49F7-802C-AF98A6AD2286}"/>
    <hyperlink ref="AB18" r:id="rId341" xr:uid="{7EB0B930-BE3C-47C0-98F6-9F25773AC253}"/>
    <hyperlink ref="AB172" r:id="rId342" xr:uid="{2B937749-A6F6-4CF2-9603-4F3F60EE1C2E}"/>
    <hyperlink ref="AB115" r:id="rId343" xr:uid="{062A5139-4A02-4D83-91EF-DC717921FC94}"/>
    <hyperlink ref="AB36" r:id="rId344" xr:uid="{39CB8662-FB90-49DA-A986-A63DE0F00537}"/>
    <hyperlink ref="AB103" r:id="rId345" xr:uid="{F5A729DD-144D-44F5-A726-C564B5A37B52}"/>
    <hyperlink ref="AB106" r:id="rId346" xr:uid="{3A7DB6DD-5F1E-4F02-96AC-BCDBFAD358EC}"/>
    <hyperlink ref="AB160" r:id="rId347" xr:uid="{38BE1771-D092-4327-A953-17356ABC5F35}"/>
    <hyperlink ref="AB118" r:id="rId348" xr:uid="{A60A11C0-5F26-4383-9AB7-DC3E76A39E22}"/>
    <hyperlink ref="AB104" r:id="rId349" xr:uid="{FEF7D63C-847A-4DAA-BFD5-7CB538962342}"/>
    <hyperlink ref="AB30" r:id="rId350" xr:uid="{598981A8-D5E7-4A83-85E3-5430EBAA48D7}"/>
    <hyperlink ref="AB191" r:id="rId351" xr:uid="{03A7E8B1-0D25-447F-A6E8-5602C7F9CB9D}"/>
    <hyperlink ref="AB151" r:id="rId352" xr:uid="{BACD6F34-E89A-4A23-8D95-6A4D30D7F671}"/>
    <hyperlink ref="AB147" r:id="rId353" xr:uid="{18AD2B42-E814-44CA-BFB8-46DF7DD1AC31}"/>
    <hyperlink ref="AB37" r:id="rId354" xr:uid="{EBA706D8-B760-44B4-A330-F57DDE56CF4D}"/>
    <hyperlink ref="AB38" r:id="rId355" xr:uid="{3CE2B861-4AC0-4E0F-BF16-B65E16213198}"/>
    <hyperlink ref="AB83" r:id="rId356" xr:uid="{6D350D70-8281-4C75-A365-AB091ABFFAC8}"/>
    <hyperlink ref="AB26" r:id="rId357" xr:uid="{316A2F4D-367B-4677-B61C-587ED3E45A28}"/>
    <hyperlink ref="AB108" r:id="rId358" xr:uid="{ACD9B3B3-6FA1-4B49-93B1-DBA84E5A74BA}"/>
    <hyperlink ref="AB161" r:id="rId359" xr:uid="{F944B908-326B-480B-8D4F-0A4057A44F86}"/>
    <hyperlink ref="AB173" r:id="rId360" xr:uid="{0365C262-CA66-493B-AAA5-55AA52F13066}"/>
    <hyperlink ref="AB130" r:id="rId361" xr:uid="{DFDDB999-76B9-4EF4-B0A0-E520B5FC6B41}"/>
    <hyperlink ref="AB63" r:id="rId362" xr:uid="{454C8254-D611-420B-BA25-E52E7A7580F5}"/>
    <hyperlink ref="AB56" r:id="rId363" xr:uid="{C9AD5CA7-7AF8-41F2-A519-E9C5662A0ED1}"/>
    <hyperlink ref="AB55" r:id="rId364" xr:uid="{DE190CE6-6FC7-4313-96FD-F20ECF579091}"/>
    <hyperlink ref="AB48" r:id="rId365" xr:uid="{C384A201-DDB7-44F3-89B0-C37E327B3BA4}"/>
    <hyperlink ref="AB77" r:id="rId366" xr:uid="{7559BD0E-615B-45B1-9DDB-7BFD76D4ECE7}"/>
    <hyperlink ref="AB7" r:id="rId367" xr:uid="{2708AE16-1423-41E3-88F4-5A9964C7AA0F}"/>
    <hyperlink ref="AB69" r:id="rId368" xr:uid="{1A69E6A5-BABF-419C-9894-30E46715D6EC}"/>
    <hyperlink ref="AB74" r:id="rId369" xr:uid="{35E6EB39-15FB-43CA-B059-5514215523D5}"/>
    <hyperlink ref="AB2" r:id="rId370" xr:uid="{30723FCF-A5AD-4FEB-801C-C6BCCD24E0CC}"/>
    <hyperlink ref="AB136" r:id="rId371" xr:uid="{940CA56F-AAD0-418B-865E-EB94253E392E}"/>
    <hyperlink ref="AB58" r:id="rId372" xr:uid="{071DC48D-AF7F-4832-8D90-22A7686426B5}"/>
    <hyperlink ref="AB163" r:id="rId373" xr:uid="{D1FA4044-0443-467C-B288-8C35A5BAC8D8}"/>
    <hyperlink ref="AB171" r:id="rId374" xr:uid="{39F0143A-64F4-485E-9495-73FAF636CCB3}"/>
    <hyperlink ref="AB166" r:id="rId375" xr:uid="{631DC01A-6539-4084-9AC0-1BDE1E576820}"/>
    <hyperlink ref="AB188" r:id="rId376" xr:uid="{911F3739-A07E-41D1-AC11-F5058A8160DF}"/>
    <hyperlink ref="AB153" r:id="rId377" xr:uid="{9D0D39F9-4CA9-4386-B8E9-FA42815709F7}"/>
    <hyperlink ref="AB177" r:id="rId378" xr:uid="{12E32D80-94E2-4B83-8BB2-CDAFA9B96107}"/>
    <hyperlink ref="AB183" r:id="rId379" display="mailto:ursstirnemann@bluewin.ch" xr:uid="{EB80430A-41E7-4BAB-9ACF-83CBF51A2541}"/>
    <hyperlink ref="AB78" r:id="rId380" xr:uid="{696FE2A5-1170-490F-BDD8-ED19730041B5}"/>
    <hyperlink ref="AB87" r:id="rId381" xr:uid="{9E244A6A-E33C-4E60-804B-020A1229F10C}"/>
    <hyperlink ref="AB43" r:id="rId382" xr:uid="{20910D45-05F1-491C-8389-B3C63BF07ADC}"/>
    <hyperlink ref="AB14" r:id="rId383" xr:uid="{43E0FED9-B906-4793-BC95-CBB20DA8FA3E}"/>
    <hyperlink ref="AB47" r:id="rId384" xr:uid="{87076E53-DA59-4465-9476-32A3A744D853}"/>
    <hyperlink ref="AB39" r:id="rId385" xr:uid="{5CC4A48F-EB48-4538-B1F5-983B5F8EFEFB}"/>
    <hyperlink ref="AB146" r:id="rId386" display="mailto:sandra@rudelwohl-zach.de" xr:uid="{60805718-A49B-4BAA-AC45-4D5775EB6A73}"/>
    <hyperlink ref="AB89" r:id="rId387" xr:uid="{7D8F086C-FAB9-4DE0-BE2A-35CD7DDB2E52}"/>
    <hyperlink ref="AB96" r:id="rId388" xr:uid="{F32A2C00-3614-4A0E-9FB4-E3B603CE177A}"/>
    <hyperlink ref="AB49" r:id="rId389" xr:uid="{347441F1-E835-4E28-B148-1EB045994E0A}"/>
    <hyperlink ref="AB140" r:id="rId390" xr:uid="{02263098-7623-4BDD-863A-B28D2557724A}"/>
    <hyperlink ref="AB57" r:id="rId391" display="mailto:gmmanzi@aol.com" xr:uid="{3503C5AD-571A-4D9B-8389-6444134A5E59}"/>
    <hyperlink ref="AB155" r:id="rId392" xr:uid="{98BBA3A6-FFCC-4434-9ED3-04DF56995EF1}"/>
    <hyperlink ref="AB137" r:id="rId393" xr:uid="{71150D5A-D4C5-4508-A9B9-B163C474A83C}"/>
    <hyperlink ref="AB117" r:id="rId394" xr:uid="{D8658F08-30A4-4ABF-960C-824BB066AA25}"/>
    <hyperlink ref="AB9" r:id="rId395" xr:uid="{FA5A8DA6-E007-42DF-8578-3C741D233B04}"/>
    <hyperlink ref="AB59" r:id="rId396" xr:uid="{22933AEC-21D3-4E50-84CA-324F944C02B9}"/>
    <hyperlink ref="AB126" r:id="rId397" xr:uid="{173905DB-2C44-4DB2-9F5A-41D4D0AD8D4B}"/>
    <hyperlink ref="AB17" r:id="rId398" xr:uid="{FE7E96EE-2705-478D-BD42-EAF32550EEEF}"/>
    <hyperlink ref="AB97" r:id="rId399" xr:uid="{17A7899E-A897-48D1-BA41-DBAF62F12A75}"/>
    <hyperlink ref="AB164" r:id="rId400" xr:uid="{C46A5764-9734-426E-A2A5-EDD70FFFD83E}"/>
    <hyperlink ref="AB174" r:id="rId401" xr:uid="{62FBC5FD-E7ED-4B54-AEC5-B515509C2DAA}"/>
    <hyperlink ref="AB181" r:id="rId402" xr:uid="{46C50C44-E5E2-4CF7-B150-359D40F3D95C}"/>
    <hyperlink ref="AB79" r:id="rId403" xr:uid="{2CE3A734-3A2F-4EAC-A8C3-A3742A6779F8}"/>
    <hyperlink ref="AB159" r:id="rId404" xr:uid="{634A9E89-DD52-49B9-BDEA-C944720495B8}"/>
    <hyperlink ref="AB101" r:id="rId405" xr:uid="{299E41F2-05BD-4654-8B95-502A5D97EC2A}"/>
    <hyperlink ref="AB116" r:id="rId406" xr:uid="{882650D2-F08A-42C9-8A78-AC490AFCEDE1}"/>
    <hyperlink ref="AB165" r:id="rId407" xr:uid="{C8A61BC8-ACA5-46D0-9571-CCAED287FA2D}"/>
    <hyperlink ref="AB80" r:id="rId408" xr:uid="{C524B049-A0AA-409C-B208-00554B545828}"/>
    <hyperlink ref="AB141" r:id="rId409" xr:uid="{559B58BF-2FC3-4D0F-9AFB-7802EA26160A}"/>
    <hyperlink ref="AB27" r:id="rId410" xr:uid="{83B73197-3CC3-4EA0-A124-716CA537E51D}"/>
    <hyperlink ref="AB70" r:id="rId411" xr:uid="{1BA3892B-A6E9-4DF8-A5FB-4FAB757474F3}"/>
    <hyperlink ref="AB19" r:id="rId412" xr:uid="{A46371FA-D3FB-4593-9001-B6E4716C9B8E}"/>
    <hyperlink ref="AB178" r:id="rId413" xr:uid="{4D37831F-D7C7-4D1B-A143-EC646E6016C6}"/>
    <hyperlink ref="AB35" r:id="rId414" xr:uid="{7ED4C0CC-687C-4AFB-9CAA-48B1647F8C8B}"/>
    <hyperlink ref="AB113" r:id="rId415" xr:uid="{45BB8C1E-B7F9-48F7-B8E1-AAA74F89E87A}"/>
    <hyperlink ref="AB11" r:id="rId416" xr:uid="{60D18B97-BB17-4708-BF21-C653A7490843}"/>
    <hyperlink ref="AB76" r:id="rId417" xr:uid="{73AE6971-5E3E-4EB3-B373-25F3755288AB}"/>
    <hyperlink ref="AB185" r:id="rId418" xr:uid="{29BBD88F-D96D-463F-8F94-CE722EA85B4D}"/>
    <hyperlink ref="AB120" r:id="rId419" xr:uid="{63C6C8F9-339B-4C30-9331-0BC1042D3CD0}"/>
    <hyperlink ref="AB112" r:id="rId420" xr:uid="{C0083D18-CFB5-4098-9FB2-3F38C287B9AE}"/>
    <hyperlink ref="AB50" r:id="rId421" xr:uid="{2B02620B-D9DD-4F86-9F02-5EE04824E87F}"/>
    <hyperlink ref="AB5" r:id="rId422" xr:uid="{8C84521E-9592-42E6-9DA3-55A5CE743BA5}"/>
    <hyperlink ref="AB65" r:id="rId423" xr:uid="{34C70C2A-CD65-4429-9F67-9F97A0DA761C}"/>
    <hyperlink ref="AB84" r:id="rId424" xr:uid="{A7E11F0F-46F5-4002-8CA6-FFF409DCDA00}"/>
    <hyperlink ref="AB175" r:id="rId425" xr:uid="{D6E06405-7BB9-4D0E-BDDF-478DC8A133AF}"/>
    <hyperlink ref="AB60" r:id="rId426" xr:uid="{5CF09E2E-7F41-4A25-8D88-75FA10F5A3B5}"/>
    <hyperlink ref="AB46" r:id="rId427" xr:uid="{A173463B-076C-4715-8A2E-3EE1AD96938A}"/>
    <hyperlink ref="AB179" r:id="rId428" xr:uid="{E7B24360-4A72-444E-950E-58BB09515543}"/>
    <hyperlink ref="AB176" r:id="rId429" xr:uid="{F089535C-3BBB-462B-AD42-C5C9E7A88CCF}"/>
    <hyperlink ref="AB99" r:id="rId430" xr:uid="{B72A198A-D611-49D0-8EA7-F656C1EC40D8}"/>
    <hyperlink ref="AB67" r:id="rId431" xr:uid="{3A5C5022-8C00-4E15-A3E3-EC97C6D2BB69}"/>
    <hyperlink ref="AB133" r:id="rId432" xr:uid="{B85CCEF3-7BA1-4670-9DF0-D84C771A6BA4}"/>
    <hyperlink ref="AB10" r:id="rId433" xr:uid="{AFCBEE2C-548E-4716-A011-D8F7BAD3ECA1}"/>
    <hyperlink ref="AB81" r:id="rId434" xr:uid="{025371A7-CCAB-4E7A-8C2B-ADA619FF347C}"/>
    <hyperlink ref="AB33" r:id="rId435" display="mailto:claudia101175@yahoo.de" xr:uid="{66A6FBF2-314A-4B50-9B53-4E517EC5E8DF}"/>
    <hyperlink ref="AB68" r:id="rId436" xr:uid="{9FEF5E38-28C0-445A-844B-1DB163E22F47}"/>
    <hyperlink ref="AB23" r:id="rId437" xr:uid="{E9DA55E3-6780-475A-813D-88D3D9631524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98639-4374-4EA2-B69A-83E86D574ACF}">
  <dimension ref="A1:AA158"/>
  <sheetViews>
    <sheetView topLeftCell="A51" workbookViewId="0">
      <selection activeCell="N66" sqref="N66:N82"/>
    </sheetView>
  </sheetViews>
  <sheetFormatPr baseColWidth="10" defaultRowHeight="10.199999999999999"/>
  <cols>
    <col min="1" max="1" width="18.77734375" style="8" bestFit="1" customWidth="1"/>
    <col min="2" max="2" width="11.5546875" style="8"/>
    <col min="3" max="3" width="9" style="8" customWidth="1"/>
    <col min="4" max="4" width="14.44140625" style="8" bestFit="1" customWidth="1"/>
    <col min="5" max="5" width="15.109375" style="8" bestFit="1" customWidth="1"/>
    <col min="6" max="6" width="0" style="8" hidden="1" customWidth="1"/>
    <col min="7" max="7" width="10.77734375" style="8" customWidth="1"/>
    <col min="8" max="8" width="16.109375" style="8" customWidth="1"/>
    <col min="9" max="9" width="11.5546875" style="8"/>
    <col min="10" max="10" width="6.44140625" style="8" customWidth="1"/>
    <col min="11" max="11" width="11.5546875" style="8"/>
    <col min="12" max="12" width="17" style="8" customWidth="1"/>
    <col min="13" max="13" width="18" style="8" hidden="1" customWidth="1"/>
    <col min="14" max="14" width="19.77734375" style="8" customWidth="1"/>
    <col min="15" max="15" width="12.109375" style="8" customWidth="1"/>
    <col min="16" max="16" width="15.5546875" style="8" hidden="1" customWidth="1"/>
    <col min="17" max="17" width="21.21875" style="8" bestFit="1" customWidth="1"/>
    <col min="18" max="18" width="16.77734375" style="8" bestFit="1" customWidth="1"/>
    <col min="19" max="19" width="17.5546875" style="8" bestFit="1" customWidth="1"/>
    <col min="20" max="20" width="20.88671875" style="8" bestFit="1" customWidth="1"/>
    <col min="21" max="21" width="17" style="8" bestFit="1" customWidth="1"/>
    <col min="22" max="22" width="21.77734375" style="8" bestFit="1" customWidth="1"/>
    <col min="23" max="16384" width="11.5546875" style="8"/>
  </cols>
  <sheetData>
    <row r="1" spans="1:27">
      <c r="A1" s="7" t="s">
        <v>0</v>
      </c>
      <c r="B1" s="7" t="s">
        <v>1</v>
      </c>
      <c r="C1" s="29" t="s">
        <v>370</v>
      </c>
      <c r="D1" s="29" t="s">
        <v>371</v>
      </c>
      <c r="E1" s="7" t="s">
        <v>2</v>
      </c>
      <c r="F1" s="7" t="s">
        <v>3</v>
      </c>
      <c r="G1" s="133" t="s">
        <v>4</v>
      </c>
      <c r="H1" s="8" t="s">
        <v>16</v>
      </c>
      <c r="I1" s="7" t="s">
        <v>5</v>
      </c>
      <c r="J1" s="7" t="s">
        <v>6</v>
      </c>
      <c r="K1" s="7" t="s">
        <v>7</v>
      </c>
      <c r="L1" s="7" t="s">
        <v>21</v>
      </c>
      <c r="M1" s="7" t="s">
        <v>8</v>
      </c>
      <c r="N1" s="7" t="s">
        <v>9</v>
      </c>
      <c r="O1" s="7" t="s">
        <v>418</v>
      </c>
      <c r="P1" s="7" t="s">
        <v>38</v>
      </c>
      <c r="Q1" s="8" t="s">
        <v>67</v>
      </c>
      <c r="R1" s="132" t="s">
        <v>417</v>
      </c>
      <c r="S1" s="133" t="s">
        <v>416</v>
      </c>
      <c r="T1" s="133" t="s">
        <v>105</v>
      </c>
      <c r="U1" s="7" t="s">
        <v>231</v>
      </c>
      <c r="V1" s="8" t="s">
        <v>836</v>
      </c>
      <c r="W1" s="8" t="s">
        <v>835</v>
      </c>
      <c r="X1" s="8" t="s">
        <v>869</v>
      </c>
    </row>
    <row r="2" spans="1:27">
      <c r="A2" s="392" t="s">
        <v>2295</v>
      </c>
      <c r="B2" s="392" t="s">
        <v>102</v>
      </c>
      <c r="C2" s="393">
        <v>43722</v>
      </c>
      <c r="D2" s="393">
        <v>43736</v>
      </c>
      <c r="E2" s="392"/>
      <c r="F2" s="936" t="s">
        <v>2297</v>
      </c>
      <c r="G2" s="394" t="s">
        <v>2298</v>
      </c>
      <c r="H2" s="936" t="s">
        <v>2299</v>
      </c>
      <c r="I2" s="392" t="s">
        <v>18</v>
      </c>
      <c r="J2" s="392" t="s">
        <v>51</v>
      </c>
      <c r="K2" s="396"/>
      <c r="L2" s="936" t="s">
        <v>2300</v>
      </c>
      <c r="M2" s="392"/>
      <c r="N2" s="397" t="s">
        <v>2296</v>
      </c>
      <c r="O2" s="398"/>
      <c r="P2" s="392"/>
      <c r="Q2" s="392"/>
      <c r="R2" s="394"/>
      <c r="S2" s="394">
        <v>2</v>
      </c>
      <c r="T2" s="394">
        <v>1</v>
      </c>
      <c r="U2" s="672"/>
      <c r="V2" s="400">
        <v>43580</v>
      </c>
      <c r="W2" s="392" t="s">
        <v>1477</v>
      </c>
      <c r="X2" s="392" t="s">
        <v>1154</v>
      </c>
      <c r="Y2" s="392"/>
      <c r="Z2" s="392"/>
      <c r="AA2" s="392"/>
    </row>
    <row r="3" spans="1:27">
      <c r="A3" s="115" t="s">
        <v>2976</v>
      </c>
      <c r="B3" s="115" t="s">
        <v>2977</v>
      </c>
      <c r="C3" s="116">
        <v>44492</v>
      </c>
      <c r="D3" s="116">
        <v>44499</v>
      </c>
      <c r="E3" s="115" t="s">
        <v>2978</v>
      </c>
      <c r="F3" s="115"/>
      <c r="G3" s="115" t="s">
        <v>2979</v>
      </c>
      <c r="H3" s="115" t="s">
        <v>2980</v>
      </c>
      <c r="I3" s="115" t="s">
        <v>18</v>
      </c>
      <c r="J3" s="115" t="s">
        <v>51</v>
      </c>
      <c r="K3" s="115"/>
      <c r="L3" s="124" t="s">
        <v>2981</v>
      </c>
      <c r="M3" s="115"/>
      <c r="N3" s="128" t="s">
        <v>2982</v>
      </c>
      <c r="O3" s="118">
        <v>990</v>
      </c>
      <c r="P3" s="115"/>
      <c r="Q3" s="115" t="s">
        <v>1500</v>
      </c>
      <c r="R3" s="361">
        <v>1</v>
      </c>
      <c r="S3" s="361">
        <v>2</v>
      </c>
      <c r="T3" s="361">
        <v>1</v>
      </c>
      <c r="U3" s="119">
        <v>247.5</v>
      </c>
      <c r="V3" s="120">
        <v>44380</v>
      </c>
      <c r="W3" s="115" t="s">
        <v>1477</v>
      </c>
      <c r="X3" s="115" t="s">
        <v>1154</v>
      </c>
      <c r="Y3" s="115"/>
      <c r="Z3" s="115"/>
      <c r="AA3" s="115"/>
    </row>
    <row r="4" spans="1:27" s="115" customFormat="1" ht="14.4">
      <c r="A4" s="115" t="s">
        <v>3339</v>
      </c>
      <c r="B4" s="115" t="s">
        <v>3340</v>
      </c>
      <c r="C4" s="116">
        <v>45199</v>
      </c>
      <c r="D4" s="116">
        <v>45220</v>
      </c>
      <c r="E4" s="1223" t="s">
        <v>3341</v>
      </c>
      <c r="G4" s="361" t="s">
        <v>3344</v>
      </c>
      <c r="H4" s="1223" t="s">
        <v>3343</v>
      </c>
      <c r="I4" s="115" t="s">
        <v>168</v>
      </c>
      <c r="J4" s="115" t="s">
        <v>1023</v>
      </c>
      <c r="L4" s="124" t="s">
        <v>3345</v>
      </c>
      <c r="N4" s="121" t="s">
        <v>3342</v>
      </c>
      <c r="O4" s="1027">
        <f>1290*3</f>
        <v>3870</v>
      </c>
      <c r="Q4" s="115" t="s">
        <v>3338</v>
      </c>
      <c r="R4" s="361">
        <v>3</v>
      </c>
      <c r="S4" s="361">
        <v>2</v>
      </c>
      <c r="T4" s="361">
        <v>1</v>
      </c>
      <c r="U4" s="119">
        <v>1000</v>
      </c>
      <c r="V4" s="120">
        <v>44844</v>
      </c>
      <c r="W4" s="115" t="s">
        <v>3347</v>
      </c>
      <c r="X4" s="115" t="s">
        <v>1154</v>
      </c>
      <c r="Y4" s="115" t="s">
        <v>3348</v>
      </c>
    </row>
    <row r="5" spans="1:27" s="115" customFormat="1">
      <c r="A5" s="1148" t="s">
        <v>2743</v>
      </c>
      <c r="B5" s="1148" t="s">
        <v>2742</v>
      </c>
      <c r="C5" s="1149">
        <v>44702</v>
      </c>
      <c r="D5" s="1149">
        <v>44351</v>
      </c>
      <c r="E5" s="1158" t="s">
        <v>2744</v>
      </c>
      <c r="F5" s="1148"/>
      <c r="G5" s="1158" t="s">
        <v>2745</v>
      </c>
      <c r="H5" s="1148" t="s">
        <v>2746</v>
      </c>
      <c r="I5" s="1148" t="s">
        <v>18</v>
      </c>
      <c r="J5" s="1148" t="s">
        <v>51</v>
      </c>
      <c r="K5" s="1148"/>
      <c r="L5" s="1158" t="s">
        <v>2747</v>
      </c>
      <c r="M5" s="1148"/>
      <c r="N5" s="1151" t="s">
        <v>2748</v>
      </c>
      <c r="O5" s="1152">
        <f xml:space="preserve"> 1190*2+70+3*2*14</f>
        <v>2534</v>
      </c>
      <c r="P5" s="1148"/>
      <c r="Q5" s="1148" t="s">
        <v>2885</v>
      </c>
      <c r="R5" s="1150">
        <v>2</v>
      </c>
      <c r="S5" s="1150">
        <v>2</v>
      </c>
      <c r="T5" s="1150">
        <v>2</v>
      </c>
      <c r="U5" s="1154">
        <v>520</v>
      </c>
      <c r="V5" s="1155">
        <v>44111</v>
      </c>
      <c r="W5" s="1148" t="s">
        <v>2749</v>
      </c>
      <c r="X5" s="1148" t="s">
        <v>1154</v>
      </c>
      <c r="Y5" s="1148"/>
      <c r="Z5" s="1148"/>
      <c r="AA5" s="1148"/>
    </row>
    <row r="6" spans="1:27" s="355" customFormat="1">
      <c r="A6" s="115" t="s">
        <v>2743</v>
      </c>
      <c r="B6" s="115" t="s">
        <v>2742</v>
      </c>
      <c r="C6" s="116">
        <v>45066</v>
      </c>
      <c r="D6" s="116">
        <v>45087</v>
      </c>
      <c r="E6" s="935" t="s">
        <v>2744</v>
      </c>
      <c r="F6" s="115"/>
      <c r="G6" s="935" t="s">
        <v>2745</v>
      </c>
      <c r="H6" s="115" t="s">
        <v>2746</v>
      </c>
      <c r="I6" s="115" t="s">
        <v>18</v>
      </c>
      <c r="J6" s="115" t="s">
        <v>51</v>
      </c>
      <c r="K6" s="115"/>
      <c r="L6" s="935" t="s">
        <v>2747</v>
      </c>
      <c r="M6" s="115"/>
      <c r="N6" s="128" t="s">
        <v>2748</v>
      </c>
      <c r="O6" s="118">
        <f xml:space="preserve"> 1390+1390+1590</f>
        <v>4370</v>
      </c>
      <c r="P6" s="115"/>
      <c r="Q6" s="115" t="s">
        <v>3260</v>
      </c>
      <c r="R6" s="361">
        <v>3</v>
      </c>
      <c r="S6" s="361">
        <v>1</v>
      </c>
      <c r="T6" s="361">
        <v>2</v>
      </c>
      <c r="U6" s="1134">
        <v>1000</v>
      </c>
      <c r="V6" s="120">
        <v>44111</v>
      </c>
      <c r="W6" s="115" t="s">
        <v>3208</v>
      </c>
      <c r="X6" s="115" t="s">
        <v>1154</v>
      </c>
      <c r="Y6" s="115" t="s">
        <v>3259</v>
      </c>
      <c r="Z6" s="115"/>
      <c r="AA6" s="115"/>
    </row>
    <row r="7" spans="1:27" s="115" customFormat="1">
      <c r="A7" s="1061" t="s">
        <v>3127</v>
      </c>
      <c r="B7" s="1061" t="s">
        <v>3128</v>
      </c>
      <c r="C7" s="1062">
        <v>44744</v>
      </c>
      <c r="D7" s="1062">
        <v>44758</v>
      </c>
      <c r="E7" s="1061" t="s">
        <v>3129</v>
      </c>
      <c r="F7" s="1061"/>
      <c r="G7" s="1063" t="s">
        <v>3130</v>
      </c>
      <c r="H7" s="1061" t="s">
        <v>842</v>
      </c>
      <c r="I7" s="1061" t="s">
        <v>944</v>
      </c>
      <c r="J7" s="1061" t="s">
        <v>51</v>
      </c>
      <c r="K7" s="1061"/>
      <c r="L7" s="1064" t="s">
        <v>3131</v>
      </c>
      <c r="M7" s="1061"/>
      <c r="N7" s="850" t="s">
        <v>3132</v>
      </c>
      <c r="O7" s="1065"/>
      <c r="P7" s="1061"/>
      <c r="Q7" s="1061" t="s">
        <v>3133</v>
      </c>
      <c r="R7" s="1063"/>
      <c r="S7" s="1063">
        <v>2</v>
      </c>
      <c r="T7" s="1063">
        <v>1</v>
      </c>
      <c r="U7" s="1066">
        <v>995</v>
      </c>
      <c r="V7" s="1067">
        <v>44570</v>
      </c>
      <c r="W7" s="1061" t="s">
        <v>1338</v>
      </c>
      <c r="X7" s="1061" t="s">
        <v>1154</v>
      </c>
      <c r="Y7" s="1061" t="s">
        <v>3135</v>
      </c>
      <c r="Z7" s="1061"/>
      <c r="AA7" s="1061" t="s">
        <v>3134</v>
      </c>
    </row>
    <row r="8" spans="1:27" s="115" customFormat="1">
      <c r="A8" s="115" t="s">
        <v>2943</v>
      </c>
      <c r="B8" s="115" t="s">
        <v>2944</v>
      </c>
      <c r="C8" s="116">
        <v>44373</v>
      </c>
      <c r="D8" s="116">
        <v>44380</v>
      </c>
      <c r="E8" s="935" t="s">
        <v>2945</v>
      </c>
      <c r="G8" s="935" t="s">
        <v>2946</v>
      </c>
      <c r="H8" s="115" t="s">
        <v>2947</v>
      </c>
      <c r="I8" s="115" t="s">
        <v>18</v>
      </c>
      <c r="J8" s="115" t="s">
        <v>51</v>
      </c>
      <c r="L8" s="935" t="s">
        <v>2948</v>
      </c>
      <c r="N8" s="128" t="s">
        <v>2949</v>
      </c>
      <c r="O8" s="118">
        <v>1662</v>
      </c>
      <c r="Q8" s="115" t="s">
        <v>2961</v>
      </c>
      <c r="R8" s="361">
        <v>1</v>
      </c>
      <c r="S8" s="361">
        <v>2</v>
      </c>
      <c r="T8" s="361">
        <v>1</v>
      </c>
      <c r="U8" s="129">
        <v>415.5</v>
      </c>
      <c r="V8" s="120"/>
      <c r="W8" s="115" t="s">
        <v>1477</v>
      </c>
      <c r="X8" s="115" t="s">
        <v>1217</v>
      </c>
    </row>
    <row r="9" spans="1:27" s="392" customFormat="1">
      <c r="A9" s="115" t="s">
        <v>2480</v>
      </c>
      <c r="B9" s="115" t="s">
        <v>2481</v>
      </c>
      <c r="C9" s="116">
        <v>44051</v>
      </c>
      <c r="D9" s="116">
        <v>44058</v>
      </c>
      <c r="E9" s="115" t="s">
        <v>2482</v>
      </c>
      <c r="F9" s="115"/>
      <c r="G9" s="361" t="s">
        <v>2483</v>
      </c>
      <c r="H9" s="115" t="s">
        <v>2484</v>
      </c>
      <c r="I9" s="115" t="s">
        <v>18</v>
      </c>
      <c r="J9" s="115" t="s">
        <v>1023</v>
      </c>
      <c r="K9" s="115"/>
      <c r="L9" s="124" t="s">
        <v>2485</v>
      </c>
      <c r="M9" s="115"/>
      <c r="N9" s="128" t="s">
        <v>2486</v>
      </c>
      <c r="O9" s="118">
        <v>1990</v>
      </c>
      <c r="P9" s="115"/>
      <c r="Q9" s="115" t="s">
        <v>2487</v>
      </c>
      <c r="R9" s="361">
        <v>1</v>
      </c>
      <c r="S9" s="361">
        <v>4</v>
      </c>
      <c r="T9" s="361">
        <v>1</v>
      </c>
      <c r="U9" s="119">
        <v>497.5</v>
      </c>
      <c r="V9" s="120"/>
      <c r="W9" s="115"/>
      <c r="X9" s="115"/>
      <c r="Y9" s="115"/>
      <c r="Z9" s="115"/>
      <c r="AA9" s="115"/>
    </row>
    <row r="10" spans="1:27" s="355" customFormat="1">
      <c r="A10" s="699" t="s">
        <v>2529</v>
      </c>
      <c r="B10" s="699" t="s">
        <v>2530</v>
      </c>
      <c r="C10" s="700">
        <v>43960</v>
      </c>
      <c r="D10" s="700">
        <v>43974</v>
      </c>
      <c r="E10" s="699" t="s">
        <v>2531</v>
      </c>
      <c r="F10" s="699"/>
      <c r="G10" s="701" t="s">
        <v>2532</v>
      </c>
      <c r="H10" s="699" t="s">
        <v>2533</v>
      </c>
      <c r="I10" s="702" t="s">
        <v>18</v>
      </c>
      <c r="J10" s="699" t="s">
        <v>1023</v>
      </c>
      <c r="K10" s="699" t="s">
        <v>2535</v>
      </c>
      <c r="L10" s="703" t="s">
        <v>2534</v>
      </c>
      <c r="M10" s="699"/>
      <c r="N10" s="875" t="s">
        <v>2536</v>
      </c>
      <c r="O10" s="704"/>
      <c r="P10" s="699"/>
      <c r="Q10" s="699" t="s">
        <v>2564</v>
      </c>
      <c r="R10" s="701"/>
      <c r="S10" s="701">
        <v>2</v>
      </c>
      <c r="T10" s="701">
        <v>1</v>
      </c>
      <c r="U10" s="705">
        <v>412.5</v>
      </c>
      <c r="V10" s="706">
        <v>43884</v>
      </c>
      <c r="W10" s="699"/>
      <c r="X10" s="699" t="s">
        <v>1217</v>
      </c>
      <c r="Y10" s="699" t="s">
        <v>2553</v>
      </c>
      <c r="Z10" s="699"/>
      <c r="AA10" s="699"/>
    </row>
    <row r="11" spans="1:27" s="115" customFormat="1">
      <c r="A11" s="1148" t="s">
        <v>3072</v>
      </c>
      <c r="B11" s="1148" t="s">
        <v>1962</v>
      </c>
      <c r="C11" s="1149">
        <v>44779</v>
      </c>
      <c r="D11" s="1149">
        <v>44793</v>
      </c>
      <c r="E11" s="1158" t="s">
        <v>3073</v>
      </c>
      <c r="F11" s="1148"/>
      <c r="G11" s="1158" t="s">
        <v>3075</v>
      </c>
      <c r="H11" s="1148" t="s">
        <v>3074</v>
      </c>
      <c r="I11" s="1148" t="s">
        <v>1775</v>
      </c>
      <c r="J11" s="1148" t="s">
        <v>51</v>
      </c>
      <c r="K11" s="1148"/>
      <c r="L11" s="1158" t="s">
        <v>3076</v>
      </c>
      <c r="M11" s="1148"/>
      <c r="N11" s="1151" t="s">
        <v>3071</v>
      </c>
      <c r="O11" s="1190">
        <f>1990*2+70</f>
        <v>4050</v>
      </c>
      <c r="P11" s="1148"/>
      <c r="Q11" s="1148" t="s">
        <v>1401</v>
      </c>
      <c r="R11" s="1150">
        <v>2</v>
      </c>
      <c r="S11" s="1150">
        <v>4</v>
      </c>
      <c r="T11" s="1150">
        <v>1</v>
      </c>
      <c r="U11" s="1157">
        <v>1000</v>
      </c>
      <c r="V11" s="1155">
        <v>44508</v>
      </c>
      <c r="W11" s="1148" t="s">
        <v>1665</v>
      </c>
      <c r="X11" s="1148" t="s">
        <v>1154</v>
      </c>
      <c r="Y11" s="1148"/>
      <c r="Z11" s="1148"/>
      <c r="AA11" s="1148"/>
    </row>
    <row r="12" spans="1:27" s="115" customFormat="1" ht="13.2">
      <c r="A12" s="115" t="s">
        <v>3305</v>
      </c>
      <c r="B12" s="115" t="s">
        <v>3306</v>
      </c>
      <c r="C12" s="116">
        <v>45108</v>
      </c>
      <c r="D12" s="116">
        <v>45122</v>
      </c>
      <c r="E12" s="115" t="s">
        <v>3307</v>
      </c>
      <c r="G12" s="115" t="s">
        <v>3308</v>
      </c>
      <c r="H12" s="115" t="s">
        <v>187</v>
      </c>
      <c r="I12" s="115" t="s">
        <v>18</v>
      </c>
      <c r="J12" s="115" t="s">
        <v>51</v>
      </c>
      <c r="K12" s="115" t="s">
        <v>3310</v>
      </c>
      <c r="L12" s="115" t="s">
        <v>3309</v>
      </c>
      <c r="N12" s="117" t="s">
        <v>3311</v>
      </c>
      <c r="O12" s="118">
        <f>2490*2</f>
        <v>4980</v>
      </c>
      <c r="Q12" s="115" t="s">
        <v>3312</v>
      </c>
      <c r="R12" s="361">
        <v>2</v>
      </c>
      <c r="S12" s="361">
        <v>6</v>
      </c>
      <c r="T12" s="361">
        <v>2</v>
      </c>
      <c r="U12" s="1134">
        <f>1245</f>
        <v>1245</v>
      </c>
      <c r="V12" s="120">
        <v>44754</v>
      </c>
      <c r="W12" s="115" t="s">
        <v>1665</v>
      </c>
      <c r="X12" s="115" t="s">
        <v>1154</v>
      </c>
    </row>
    <row r="13" spans="1:27" s="115" customFormat="1" ht="13.2">
      <c r="A13" s="1203" t="s">
        <v>137</v>
      </c>
      <c r="B13" s="1203" t="s">
        <v>304</v>
      </c>
      <c r="C13" s="1204">
        <v>44842</v>
      </c>
      <c r="D13" s="1204">
        <v>44849</v>
      </c>
      <c r="E13" s="1205" t="s">
        <v>3299</v>
      </c>
      <c r="F13" s="1203"/>
      <c r="G13" s="1206"/>
      <c r="H13" s="1203" t="s">
        <v>3300</v>
      </c>
      <c r="I13" s="1203" t="s">
        <v>18</v>
      </c>
      <c r="J13" s="1203" t="s">
        <v>51</v>
      </c>
      <c r="K13" s="1203"/>
      <c r="L13" s="1203" t="s">
        <v>3301</v>
      </c>
      <c r="M13" s="1203"/>
      <c r="N13" s="1207" t="s">
        <v>3302</v>
      </c>
      <c r="O13" s="1208">
        <f>1030+297.5</f>
        <v>1327.5</v>
      </c>
      <c r="P13" s="1203"/>
      <c r="Q13" s="1203" t="s">
        <v>3303</v>
      </c>
      <c r="R13" s="1206">
        <v>1</v>
      </c>
      <c r="S13" s="1206">
        <v>2</v>
      </c>
      <c r="T13" s="1206">
        <v>3</v>
      </c>
      <c r="U13" s="1209">
        <v>297.5</v>
      </c>
      <c r="V13" s="1210">
        <v>44746</v>
      </c>
      <c r="W13" s="1203" t="s">
        <v>1477</v>
      </c>
      <c r="X13" s="1203" t="s">
        <v>1154</v>
      </c>
      <c r="Y13" s="1203"/>
      <c r="Z13" s="1203"/>
      <c r="AA13" s="1203"/>
    </row>
    <row r="14" spans="1:27">
      <c r="A14" s="115" t="s">
        <v>2312</v>
      </c>
      <c r="B14" s="115" t="s">
        <v>2313</v>
      </c>
      <c r="C14" s="116">
        <v>43708</v>
      </c>
      <c r="D14" s="116">
        <v>43719</v>
      </c>
      <c r="E14" s="115" t="s">
        <v>2314</v>
      </c>
      <c r="F14" s="115"/>
      <c r="G14" s="361">
        <v>13467</v>
      </c>
      <c r="H14" s="935" t="s">
        <v>239</v>
      </c>
      <c r="I14" s="115" t="s">
        <v>18</v>
      </c>
      <c r="J14" s="115" t="s">
        <v>51</v>
      </c>
      <c r="K14" s="124"/>
      <c r="L14" s="124">
        <v>4915170062209</v>
      </c>
      <c r="M14" s="115"/>
      <c r="N14" s="128" t="s">
        <v>2315</v>
      </c>
      <c r="O14" s="118">
        <v>2384</v>
      </c>
      <c r="P14" s="115"/>
      <c r="Q14" s="115"/>
      <c r="R14" s="361">
        <v>1.5</v>
      </c>
      <c r="S14" s="361">
        <v>4</v>
      </c>
      <c r="T14" s="361">
        <v>2</v>
      </c>
      <c r="U14" s="119">
        <v>596</v>
      </c>
      <c r="V14" s="120">
        <v>43622</v>
      </c>
      <c r="W14" s="115" t="s">
        <v>2316</v>
      </c>
      <c r="X14" s="115" t="s">
        <v>1217</v>
      </c>
      <c r="Y14" s="115"/>
      <c r="Z14" s="115"/>
      <c r="AA14" s="115"/>
    </row>
    <row r="15" spans="1:27" ht="10.8" thickBot="1">
      <c r="A15" s="689" t="s">
        <v>2652</v>
      </c>
      <c r="B15" s="689" t="s">
        <v>2653</v>
      </c>
      <c r="C15" s="690">
        <v>44121</v>
      </c>
      <c r="D15" s="690">
        <v>44128</v>
      </c>
      <c r="E15" s="689" t="s">
        <v>2654</v>
      </c>
      <c r="F15" s="689"/>
      <c r="G15" s="691" t="s">
        <v>2655</v>
      </c>
      <c r="H15" s="689" t="s">
        <v>2656</v>
      </c>
      <c r="I15" s="689" t="s">
        <v>18</v>
      </c>
      <c r="J15" s="689" t="s">
        <v>51</v>
      </c>
      <c r="K15" s="689"/>
      <c r="L15" s="693" t="s">
        <v>2657</v>
      </c>
      <c r="M15" s="689"/>
      <c r="N15" s="874" t="s">
        <v>2658</v>
      </c>
      <c r="O15" s="694"/>
      <c r="P15" s="689"/>
      <c r="Q15" s="689" t="s">
        <v>2752</v>
      </c>
      <c r="R15" s="691">
        <v>0</v>
      </c>
      <c r="S15" s="691">
        <v>4</v>
      </c>
      <c r="T15" s="691">
        <v>1</v>
      </c>
      <c r="U15" s="697">
        <v>250</v>
      </c>
      <c r="V15" s="695">
        <v>44037</v>
      </c>
      <c r="W15" s="689" t="s">
        <v>1477</v>
      </c>
      <c r="X15" s="689" t="s">
        <v>1154</v>
      </c>
      <c r="Y15" s="689"/>
      <c r="Z15" s="689"/>
      <c r="AA15" s="689"/>
    </row>
    <row r="16" spans="1:27" ht="10.8" thickBot="1">
      <c r="A16" s="1392" t="s">
        <v>2652</v>
      </c>
      <c r="B16" s="1398" t="s">
        <v>2653</v>
      </c>
      <c r="C16" s="839">
        <v>44289</v>
      </c>
      <c r="D16" s="1405">
        <v>44296</v>
      </c>
      <c r="E16" s="1398" t="s">
        <v>2654</v>
      </c>
      <c r="F16" s="838"/>
      <c r="G16" s="840" t="s">
        <v>2655</v>
      </c>
      <c r="H16" s="838" t="s">
        <v>2656</v>
      </c>
      <c r="I16" s="838" t="s">
        <v>18</v>
      </c>
      <c r="J16" s="838" t="s">
        <v>51</v>
      </c>
      <c r="K16" s="838"/>
      <c r="L16" s="841" t="s">
        <v>2657</v>
      </c>
      <c r="M16" s="838"/>
      <c r="N16" s="861" t="s">
        <v>2658</v>
      </c>
      <c r="O16" s="842"/>
      <c r="P16" s="838"/>
      <c r="Q16" s="838" t="s">
        <v>2752</v>
      </c>
      <c r="R16" s="840">
        <v>0</v>
      </c>
      <c r="S16" s="840">
        <v>4</v>
      </c>
      <c r="T16" s="840">
        <v>1</v>
      </c>
      <c r="U16" s="960">
        <v>250</v>
      </c>
      <c r="V16" s="844">
        <v>44037</v>
      </c>
      <c r="W16" s="838" t="s">
        <v>1477</v>
      </c>
      <c r="X16" s="838" t="s">
        <v>1154</v>
      </c>
      <c r="Y16" s="838" t="s">
        <v>2897</v>
      </c>
      <c r="Z16" s="838"/>
      <c r="AA16" s="838"/>
    </row>
    <row r="17" spans="1:27" ht="10.8" thickBot="1">
      <c r="A17" s="1261" t="s">
        <v>3045</v>
      </c>
      <c r="B17" s="1287" t="s">
        <v>596</v>
      </c>
      <c r="C17" s="1301">
        <v>44527</v>
      </c>
      <c r="D17" s="1321">
        <v>44541</v>
      </c>
      <c r="E17" s="1412" t="s">
        <v>3046</v>
      </c>
      <c r="F17" s="689"/>
      <c r="G17" s="691" t="s">
        <v>3047</v>
      </c>
      <c r="H17" s="689" t="s">
        <v>3048</v>
      </c>
      <c r="I17" s="689" t="s">
        <v>18</v>
      </c>
      <c r="J17" s="689" t="s">
        <v>51</v>
      </c>
      <c r="K17" s="689"/>
      <c r="L17" s="693" t="s">
        <v>3050</v>
      </c>
      <c r="M17" s="689"/>
      <c r="N17" s="874" t="s">
        <v>3049</v>
      </c>
      <c r="O17" s="694"/>
      <c r="P17" s="689"/>
      <c r="Q17" s="689" t="s">
        <v>3051</v>
      </c>
      <c r="R17" s="691"/>
      <c r="S17" s="691">
        <v>2</v>
      </c>
      <c r="T17" s="691">
        <v>2</v>
      </c>
      <c r="U17" s="697">
        <v>395</v>
      </c>
      <c r="V17" s="695">
        <v>44473</v>
      </c>
      <c r="W17" s="689" t="s">
        <v>1477</v>
      </c>
      <c r="X17" s="689" t="s">
        <v>1154</v>
      </c>
      <c r="Y17" s="689" t="s">
        <v>3052</v>
      </c>
      <c r="Z17" s="689"/>
      <c r="AA17" s="689"/>
    </row>
    <row r="18" spans="1:27" ht="10.8" thickBot="1">
      <c r="A18" s="973" t="s">
        <v>3045</v>
      </c>
      <c r="B18" s="973" t="s">
        <v>596</v>
      </c>
      <c r="C18" s="974">
        <v>44632</v>
      </c>
      <c r="D18" s="1403">
        <v>44646</v>
      </c>
      <c r="E18" s="1407" t="s">
        <v>3046</v>
      </c>
      <c r="F18" s="973"/>
      <c r="G18" s="976" t="s">
        <v>3047</v>
      </c>
      <c r="H18" s="973" t="s">
        <v>3048</v>
      </c>
      <c r="I18" s="973" t="s">
        <v>18</v>
      </c>
      <c r="J18" s="973" t="s">
        <v>51</v>
      </c>
      <c r="K18" s="973"/>
      <c r="L18" s="1099" t="s">
        <v>3050</v>
      </c>
      <c r="M18" s="973"/>
      <c r="N18" s="1115" t="s">
        <v>3049</v>
      </c>
      <c r="O18" s="975">
        <f>790*2+200+70+84</f>
        <v>1934</v>
      </c>
      <c r="P18" s="973"/>
      <c r="Q18" s="973" t="s">
        <v>717</v>
      </c>
      <c r="R18" s="976">
        <v>2</v>
      </c>
      <c r="S18" s="976">
        <v>2</v>
      </c>
      <c r="T18" s="976">
        <v>2</v>
      </c>
      <c r="U18" s="977">
        <v>395</v>
      </c>
      <c r="V18" s="978">
        <v>44473</v>
      </c>
      <c r="W18" s="973" t="s">
        <v>1477</v>
      </c>
      <c r="X18" s="973" t="s">
        <v>1154</v>
      </c>
      <c r="Y18" s="973" t="s">
        <v>3189</v>
      </c>
      <c r="Z18" s="973"/>
      <c r="AA18" s="973"/>
    </row>
    <row r="19" spans="1:27" ht="10.8" thickBot="1">
      <c r="A19" s="517" t="s">
        <v>3045</v>
      </c>
      <c r="B19" s="539" t="s">
        <v>596</v>
      </c>
      <c r="C19" s="116">
        <v>44996</v>
      </c>
      <c r="D19" s="561">
        <v>45017</v>
      </c>
      <c r="E19" s="1411" t="s">
        <v>3046</v>
      </c>
      <c r="F19" s="115"/>
      <c r="G19" s="361" t="s">
        <v>3047</v>
      </c>
      <c r="H19" s="115" t="s">
        <v>3048</v>
      </c>
      <c r="I19" s="115" t="s">
        <v>18</v>
      </c>
      <c r="J19" s="115" t="s">
        <v>51</v>
      </c>
      <c r="K19" s="115"/>
      <c r="L19" s="124" t="s">
        <v>3050</v>
      </c>
      <c r="M19" s="115"/>
      <c r="N19" s="363" t="s">
        <v>3049</v>
      </c>
      <c r="O19" s="118">
        <f>1090*3</f>
        <v>3270</v>
      </c>
      <c r="P19" s="115"/>
      <c r="Q19" s="115" t="s">
        <v>717</v>
      </c>
      <c r="R19" s="361">
        <v>3</v>
      </c>
      <c r="S19" s="361">
        <v>2</v>
      </c>
      <c r="T19" s="361">
        <v>2</v>
      </c>
      <c r="U19" s="1134">
        <v>818</v>
      </c>
      <c r="V19" s="120">
        <v>44670</v>
      </c>
      <c r="W19" s="115" t="s">
        <v>3208</v>
      </c>
      <c r="X19" s="115" t="s">
        <v>1154</v>
      </c>
      <c r="Y19" s="115"/>
      <c r="Z19" s="115"/>
      <c r="AA19" s="115"/>
    </row>
    <row r="20" spans="1:27" ht="10.8" thickBot="1">
      <c r="A20" s="521" t="s">
        <v>2580</v>
      </c>
      <c r="B20" s="542" t="s">
        <v>528</v>
      </c>
      <c r="C20" s="116">
        <v>44033</v>
      </c>
      <c r="D20" s="561">
        <v>44044</v>
      </c>
      <c r="E20" s="543" t="s">
        <v>2581</v>
      </c>
      <c r="F20" s="115"/>
      <c r="G20" s="361" t="s">
        <v>2582</v>
      </c>
      <c r="H20" s="115" t="s">
        <v>2583</v>
      </c>
      <c r="I20" s="496" t="s">
        <v>18</v>
      </c>
      <c r="J20" s="115" t="s">
        <v>51</v>
      </c>
      <c r="K20" s="115" t="s">
        <v>2585</v>
      </c>
      <c r="L20" s="124" t="s">
        <v>2584</v>
      </c>
      <c r="M20" s="115"/>
      <c r="N20" s="128" t="s">
        <v>2586</v>
      </c>
      <c r="O20" s="118">
        <f>995+1990</f>
        <v>2985</v>
      </c>
      <c r="P20" s="115"/>
      <c r="Q20" s="115" t="s">
        <v>2643</v>
      </c>
      <c r="R20" s="361">
        <v>2</v>
      </c>
      <c r="S20" s="361"/>
      <c r="T20" s="361">
        <v>2</v>
      </c>
      <c r="U20" s="129">
        <v>746</v>
      </c>
      <c r="V20" s="120"/>
      <c r="W20" s="115"/>
      <c r="X20" s="115"/>
      <c r="Y20" s="115"/>
      <c r="Z20" s="115"/>
      <c r="AA20" s="115"/>
    </row>
    <row r="21" spans="1:27" ht="10.8" thickBot="1">
      <c r="A21" s="505" t="s">
        <v>2207</v>
      </c>
      <c r="B21" s="543" t="s">
        <v>2208</v>
      </c>
      <c r="C21" s="116">
        <v>43666</v>
      </c>
      <c r="D21" s="568">
        <v>43680</v>
      </c>
      <c r="E21" s="535" t="s">
        <v>2209</v>
      </c>
      <c r="F21" s="115"/>
      <c r="G21" s="361"/>
      <c r="H21" s="115"/>
      <c r="I21" s="115" t="s">
        <v>18</v>
      </c>
      <c r="J21" s="115" t="s">
        <v>51</v>
      </c>
      <c r="K21" s="115"/>
      <c r="L21" s="115" t="s">
        <v>2210</v>
      </c>
      <c r="M21" s="115"/>
      <c r="N21" s="128" t="s">
        <v>2211</v>
      </c>
      <c r="O21" s="118">
        <f>1990*2</f>
        <v>3980</v>
      </c>
      <c r="P21" s="115"/>
      <c r="Q21" s="115"/>
      <c r="R21" s="361">
        <v>2</v>
      </c>
      <c r="S21" s="361" t="s">
        <v>2212</v>
      </c>
      <c r="T21" s="361">
        <v>1</v>
      </c>
      <c r="U21" s="598">
        <v>995</v>
      </c>
      <c r="V21" s="115">
        <v>43492</v>
      </c>
      <c r="W21" s="115" t="s">
        <v>1477</v>
      </c>
      <c r="X21" s="115" t="s">
        <v>1154</v>
      </c>
      <c r="Y21" s="115"/>
      <c r="Z21" s="115"/>
      <c r="AA21" s="115"/>
    </row>
    <row r="22" spans="1:27">
      <c r="A22" s="900" t="s">
        <v>2735</v>
      </c>
      <c r="B22" s="900" t="s">
        <v>2736</v>
      </c>
      <c r="C22" s="901">
        <v>43994</v>
      </c>
      <c r="D22" s="901">
        <v>44008</v>
      </c>
      <c r="E22" s="1110" t="s">
        <v>2737</v>
      </c>
      <c r="F22" s="900"/>
      <c r="G22" s="1110" t="s">
        <v>2739</v>
      </c>
      <c r="H22" s="900" t="s">
        <v>2738</v>
      </c>
      <c r="I22" s="900" t="s">
        <v>168</v>
      </c>
      <c r="J22" s="900" t="s">
        <v>1023</v>
      </c>
      <c r="K22" s="900"/>
      <c r="L22" s="1110" t="s">
        <v>2740</v>
      </c>
      <c r="M22" s="900"/>
      <c r="N22" s="903" t="s">
        <v>2741</v>
      </c>
      <c r="O22" s="904"/>
      <c r="P22" s="900"/>
      <c r="Q22" s="900" t="s">
        <v>2759</v>
      </c>
      <c r="R22" s="902"/>
      <c r="S22" s="902">
        <v>2</v>
      </c>
      <c r="T22" s="902">
        <v>2</v>
      </c>
      <c r="U22" s="930"/>
      <c r="V22" s="907">
        <v>44103</v>
      </c>
      <c r="W22" s="900" t="s">
        <v>1477</v>
      </c>
      <c r="X22" s="900" t="s">
        <v>1154</v>
      </c>
      <c r="Y22" s="900"/>
      <c r="Z22" s="900"/>
      <c r="AA22" s="900"/>
    </row>
    <row r="23" spans="1:27" ht="13.2">
      <c r="A23" s="1148" t="s">
        <v>3160</v>
      </c>
      <c r="B23" s="1148" t="s">
        <v>2736</v>
      </c>
      <c r="C23" s="1149">
        <v>44807</v>
      </c>
      <c r="D23" s="1149">
        <v>44814</v>
      </c>
      <c r="E23" s="1148" t="s">
        <v>3161</v>
      </c>
      <c r="F23" s="1148"/>
      <c r="G23" s="1150" t="s">
        <v>3162</v>
      </c>
      <c r="H23" s="1148" t="s">
        <v>3163</v>
      </c>
      <c r="I23" s="1148" t="s">
        <v>168</v>
      </c>
      <c r="J23" s="1148" t="s">
        <v>51</v>
      </c>
      <c r="K23" s="1148"/>
      <c r="L23" s="1148" t="s">
        <v>3164</v>
      </c>
      <c r="M23" s="1148"/>
      <c r="N23" s="1159" t="s">
        <v>3165</v>
      </c>
      <c r="O23" s="1185">
        <f>398+1263</f>
        <v>1661</v>
      </c>
      <c r="P23" s="1148"/>
      <c r="Q23" s="1148" t="s">
        <v>717</v>
      </c>
      <c r="R23" s="1153">
        <v>1</v>
      </c>
      <c r="S23" s="1150">
        <v>2</v>
      </c>
      <c r="T23" s="1150">
        <v>2</v>
      </c>
      <c r="U23" s="1413">
        <v>398</v>
      </c>
      <c r="V23" s="1155">
        <v>44599</v>
      </c>
      <c r="W23" s="1148" t="s">
        <v>1338</v>
      </c>
      <c r="X23" s="1148" t="s">
        <v>1154</v>
      </c>
      <c r="Y23" s="1148"/>
      <c r="Z23" s="1148"/>
      <c r="AA23" s="1148"/>
    </row>
    <row r="24" spans="1:27">
      <c r="A24" s="355" t="s">
        <v>2340</v>
      </c>
      <c r="B24" s="355" t="s">
        <v>1938</v>
      </c>
      <c r="C24" s="357">
        <v>43680</v>
      </c>
      <c r="D24" s="357">
        <v>43694</v>
      </c>
      <c r="E24" s="355" t="s">
        <v>2341</v>
      </c>
      <c r="F24" s="355"/>
      <c r="G24" s="358"/>
      <c r="H24" s="934"/>
      <c r="I24" s="355" t="s">
        <v>18</v>
      </c>
      <c r="J24" s="355" t="s">
        <v>51</v>
      </c>
      <c r="K24" s="368"/>
      <c r="L24" s="368" t="s">
        <v>2342</v>
      </c>
      <c r="M24" s="355"/>
      <c r="N24" s="365" t="s">
        <v>2343</v>
      </c>
      <c r="O24" s="359">
        <v>3200</v>
      </c>
      <c r="P24" s="355"/>
      <c r="Q24" s="355"/>
      <c r="R24" s="358">
        <v>2</v>
      </c>
      <c r="S24" s="358" t="s">
        <v>2344</v>
      </c>
      <c r="T24" s="358">
        <v>2</v>
      </c>
      <c r="U24" s="417">
        <v>0</v>
      </c>
      <c r="V24" s="360">
        <v>43671</v>
      </c>
      <c r="W24" s="355"/>
      <c r="X24" s="355"/>
      <c r="Y24" s="355"/>
      <c r="Z24" s="355"/>
      <c r="AA24" s="355"/>
    </row>
    <row r="25" spans="1:27" ht="13.2">
      <c r="A25" s="1177" t="s">
        <v>3080</v>
      </c>
      <c r="B25" s="1177" t="s">
        <v>3081</v>
      </c>
      <c r="C25" s="1178">
        <v>44765</v>
      </c>
      <c r="D25" s="1178">
        <v>44779</v>
      </c>
      <c r="E25" s="1177" t="s">
        <v>3082</v>
      </c>
      <c r="F25" s="1177"/>
      <c r="G25" s="1179" t="s">
        <v>3083</v>
      </c>
      <c r="H25" s="1177" t="s">
        <v>3084</v>
      </c>
      <c r="I25" s="1177" t="s">
        <v>168</v>
      </c>
      <c r="J25" s="1177" t="s">
        <v>51</v>
      </c>
      <c r="K25" s="1177"/>
      <c r="L25" s="1180" t="s">
        <v>3085</v>
      </c>
      <c r="M25" s="1177"/>
      <c r="N25" s="1181" t="s">
        <v>3086</v>
      </c>
      <c r="O25" s="1182">
        <f>1990*2+14*2*3+70</f>
        <v>4134</v>
      </c>
      <c r="P25" s="1177"/>
      <c r="Q25" s="1177" t="s">
        <v>3087</v>
      </c>
      <c r="R25" s="1179">
        <v>2</v>
      </c>
      <c r="S25" s="1179">
        <v>4</v>
      </c>
      <c r="T25" s="1179">
        <v>2</v>
      </c>
      <c r="U25" s="1183">
        <v>1016</v>
      </c>
      <c r="V25" s="1184"/>
      <c r="W25" s="1177" t="s">
        <v>1477</v>
      </c>
      <c r="X25" s="1177" t="s">
        <v>1154</v>
      </c>
      <c r="Y25" s="1177"/>
      <c r="Z25" s="1177"/>
      <c r="AA25" s="1177"/>
    </row>
    <row r="26" spans="1:27">
      <c r="A26" s="115" t="s">
        <v>2373</v>
      </c>
      <c r="B26" s="115" t="s">
        <v>2374</v>
      </c>
      <c r="C26" s="116">
        <v>43827</v>
      </c>
      <c r="D26" s="116">
        <v>43834</v>
      </c>
      <c r="E26" s="115" t="s">
        <v>2375</v>
      </c>
      <c r="F26" s="115"/>
      <c r="G26" s="361">
        <v>4060</v>
      </c>
      <c r="H26" s="115" t="s">
        <v>2376</v>
      </c>
      <c r="I26" s="115" t="s">
        <v>1775</v>
      </c>
      <c r="J26" s="115" t="s">
        <v>51</v>
      </c>
      <c r="K26" s="115"/>
      <c r="L26" s="124" t="s">
        <v>2377</v>
      </c>
      <c r="M26" s="115"/>
      <c r="N26" s="128" t="s">
        <v>2378</v>
      </c>
      <c r="O26" s="118">
        <v>1190</v>
      </c>
      <c r="P26" s="115"/>
      <c r="Q26" s="115"/>
      <c r="R26" s="361">
        <v>1</v>
      </c>
      <c r="S26" s="361">
        <v>2</v>
      </c>
      <c r="T26" s="361">
        <v>1</v>
      </c>
      <c r="U26" s="129">
        <v>297.5</v>
      </c>
      <c r="V26" s="120">
        <v>43746</v>
      </c>
      <c r="W26" s="115" t="s">
        <v>1477</v>
      </c>
      <c r="X26" s="115" t="s">
        <v>1154</v>
      </c>
      <c r="Y26" s="115"/>
      <c r="Z26" s="115"/>
      <c r="AA26" s="115"/>
    </row>
    <row r="27" spans="1:27" ht="13.2">
      <c r="A27" s="115" t="s">
        <v>3351</v>
      </c>
      <c r="B27" s="115" t="s">
        <v>3352</v>
      </c>
      <c r="C27" s="116">
        <v>45248</v>
      </c>
      <c r="D27" s="116">
        <v>45255</v>
      </c>
      <c r="E27" s="935" t="s">
        <v>3353</v>
      </c>
      <c r="F27" s="115"/>
      <c r="G27" s="361" t="s">
        <v>3354</v>
      </c>
      <c r="H27" s="115" t="s">
        <v>3355</v>
      </c>
      <c r="I27" s="115" t="s">
        <v>168</v>
      </c>
      <c r="J27" s="115" t="s">
        <v>51</v>
      </c>
      <c r="K27" s="115"/>
      <c r="L27" s="115" t="s">
        <v>3356</v>
      </c>
      <c r="M27" s="115"/>
      <c r="N27" s="121" t="s">
        <v>3357</v>
      </c>
      <c r="O27" s="118">
        <v>1090</v>
      </c>
      <c r="P27" s="115"/>
      <c r="Q27" s="115" t="s">
        <v>1321</v>
      </c>
      <c r="R27" s="361">
        <v>1</v>
      </c>
      <c r="S27" s="361">
        <v>2</v>
      </c>
      <c r="T27" s="361">
        <v>3</v>
      </c>
      <c r="U27" s="1224">
        <v>300</v>
      </c>
      <c r="V27" s="120">
        <v>44893</v>
      </c>
      <c r="W27" s="115" t="s">
        <v>3358</v>
      </c>
      <c r="X27" s="115" t="s">
        <v>1154</v>
      </c>
      <c r="Y27" s="115" t="s">
        <v>3359</v>
      </c>
      <c r="Z27" s="115"/>
      <c r="AA27" s="115"/>
    </row>
    <row r="28" spans="1:27" s="699" customFormat="1" ht="13.2">
      <c r="A28" s="115" t="s">
        <v>3265</v>
      </c>
      <c r="B28" s="115" t="s">
        <v>3264</v>
      </c>
      <c r="C28" s="116">
        <v>45087</v>
      </c>
      <c r="D28" s="116">
        <v>45101</v>
      </c>
      <c r="E28" s="935" t="s">
        <v>3266</v>
      </c>
      <c r="F28" s="115"/>
      <c r="G28" s="935" t="s">
        <v>3267</v>
      </c>
      <c r="H28" s="115" t="s">
        <v>3268</v>
      </c>
      <c r="I28" s="115" t="s">
        <v>18</v>
      </c>
      <c r="J28" s="115" t="s">
        <v>51</v>
      </c>
      <c r="K28" s="115"/>
      <c r="L28" s="935" t="s">
        <v>3269</v>
      </c>
      <c r="M28" s="115"/>
      <c r="N28" s="121" t="s">
        <v>3270</v>
      </c>
      <c r="O28" s="118">
        <f>1590+1990</f>
        <v>3580</v>
      </c>
      <c r="P28" s="115"/>
      <c r="Q28" s="115" t="s">
        <v>3271</v>
      </c>
      <c r="R28" s="361">
        <v>2</v>
      </c>
      <c r="S28" s="361">
        <v>3</v>
      </c>
      <c r="T28" s="361">
        <v>1</v>
      </c>
      <c r="U28" s="1416">
        <v>895</v>
      </c>
      <c r="V28" s="120">
        <v>45093</v>
      </c>
      <c r="W28" s="115"/>
      <c r="X28" s="115" t="s">
        <v>1154</v>
      </c>
      <c r="Y28" s="115" t="s">
        <v>3272</v>
      </c>
      <c r="Z28" s="115"/>
      <c r="AA28" s="115"/>
    </row>
    <row r="29" spans="1:27" s="699" customFormat="1">
      <c r="A29" s="115" t="s">
        <v>2365</v>
      </c>
      <c r="B29" s="115" t="s">
        <v>2366</v>
      </c>
      <c r="C29" s="116">
        <v>43750</v>
      </c>
      <c r="D29" s="116">
        <v>43764</v>
      </c>
      <c r="E29" s="115" t="s">
        <v>2367</v>
      </c>
      <c r="F29" s="115"/>
      <c r="G29" s="361" t="s">
        <v>2368</v>
      </c>
      <c r="H29" s="115" t="s">
        <v>2369</v>
      </c>
      <c r="I29" s="115" t="s">
        <v>18</v>
      </c>
      <c r="J29" s="115" t="s">
        <v>51</v>
      </c>
      <c r="K29" s="115"/>
      <c r="L29" s="124" t="s">
        <v>2370</v>
      </c>
      <c r="M29" s="115"/>
      <c r="N29" s="128" t="s">
        <v>2371</v>
      </c>
      <c r="O29" s="118">
        <f>790*2</f>
        <v>1580</v>
      </c>
      <c r="P29" s="115"/>
      <c r="Q29" s="115"/>
      <c r="R29" s="361">
        <v>2</v>
      </c>
      <c r="S29" s="361">
        <v>3</v>
      </c>
      <c r="T29" s="361">
        <v>2</v>
      </c>
      <c r="U29" s="119">
        <f>O29/4</f>
        <v>395</v>
      </c>
      <c r="V29" s="120">
        <v>43722</v>
      </c>
      <c r="W29" s="115" t="s">
        <v>1477</v>
      </c>
      <c r="X29" s="115" t="s">
        <v>1154</v>
      </c>
      <c r="Y29" s="115"/>
      <c r="Z29" s="115"/>
      <c r="AA29" s="115"/>
    </row>
    <row r="30" spans="1:27" ht="13.2">
      <c r="A30" s="115" t="s">
        <v>3374</v>
      </c>
      <c r="B30" s="115" t="s">
        <v>1772</v>
      </c>
      <c r="C30" s="116">
        <v>45122</v>
      </c>
      <c r="D30" s="116">
        <v>45136</v>
      </c>
      <c r="E30" s="115" t="s">
        <v>3375</v>
      </c>
      <c r="F30" s="115"/>
      <c r="G30" s="115" t="s">
        <v>3376</v>
      </c>
      <c r="H30" s="115" t="s">
        <v>3377</v>
      </c>
      <c r="I30" s="115" t="s">
        <v>18</v>
      </c>
      <c r="J30" s="115" t="s">
        <v>51</v>
      </c>
      <c r="K30" s="115" t="s">
        <v>3378</v>
      </c>
      <c r="L30" s="115">
        <v>0.49177767706600001</v>
      </c>
      <c r="M30" s="115"/>
      <c r="N30" s="117" t="s">
        <v>3379</v>
      </c>
      <c r="O30" s="118">
        <f>2490*2</f>
        <v>4980</v>
      </c>
      <c r="P30" s="115"/>
      <c r="Q30" s="115" t="s">
        <v>3380</v>
      </c>
      <c r="R30" s="361">
        <v>2</v>
      </c>
      <c r="S30" s="361">
        <v>6</v>
      </c>
      <c r="T30" s="361">
        <v>2</v>
      </c>
      <c r="U30" s="1416">
        <f>1245</f>
        <v>1245</v>
      </c>
      <c r="V30" s="120">
        <v>44925</v>
      </c>
      <c r="W30" s="115" t="s">
        <v>1338</v>
      </c>
      <c r="X30" s="115" t="s">
        <v>1154</v>
      </c>
      <c r="Y30" s="115" t="s">
        <v>3398</v>
      </c>
      <c r="Z30" s="115"/>
      <c r="AA30" s="115"/>
    </row>
    <row r="31" spans="1:27" s="699" customFormat="1" ht="13.2">
      <c r="A31" s="115" t="s">
        <v>3201</v>
      </c>
      <c r="B31" s="115" t="s">
        <v>3202</v>
      </c>
      <c r="C31" s="116">
        <v>44918</v>
      </c>
      <c r="D31" s="116">
        <v>44931</v>
      </c>
      <c r="E31" s="115" t="s">
        <v>3203</v>
      </c>
      <c r="F31" s="115"/>
      <c r="G31" s="361" t="s">
        <v>3204</v>
      </c>
      <c r="H31" s="115" t="s">
        <v>3205</v>
      </c>
      <c r="I31" s="115" t="s">
        <v>18</v>
      </c>
      <c r="J31" s="115" t="s">
        <v>51</v>
      </c>
      <c r="K31" s="115"/>
      <c r="L31" s="124" t="s">
        <v>3206</v>
      </c>
      <c r="M31" s="115"/>
      <c r="N31" s="121" t="s">
        <v>3207</v>
      </c>
      <c r="O31" s="118">
        <f>1290*2+70</f>
        <v>2650</v>
      </c>
      <c r="P31" s="115"/>
      <c r="Q31" s="115" t="s">
        <v>2674</v>
      </c>
      <c r="R31" s="361">
        <v>2</v>
      </c>
      <c r="S31" s="361">
        <v>2</v>
      </c>
      <c r="T31" s="361">
        <v>1</v>
      </c>
      <c r="U31" s="129">
        <v>645</v>
      </c>
      <c r="V31" s="120">
        <v>44660</v>
      </c>
      <c r="W31" s="115" t="s">
        <v>1477</v>
      </c>
      <c r="X31" s="115" t="s">
        <v>1154</v>
      </c>
      <c r="Y31" s="115"/>
      <c r="Z31" s="115"/>
      <c r="AA31" s="115"/>
    </row>
    <row r="32" spans="1:27" s="115" customFormat="1" ht="13.2">
      <c r="A32" s="1160" t="s">
        <v>3174</v>
      </c>
      <c r="B32" s="1160" t="s">
        <v>3175</v>
      </c>
      <c r="C32" s="1161">
        <v>44744</v>
      </c>
      <c r="D32" s="1161">
        <v>44758</v>
      </c>
      <c r="E32" s="1160" t="s">
        <v>3176</v>
      </c>
      <c r="F32" s="1160"/>
      <c r="G32" s="1162" t="s">
        <v>3177</v>
      </c>
      <c r="H32" s="1160" t="s">
        <v>3178</v>
      </c>
      <c r="I32" s="1160" t="s">
        <v>18</v>
      </c>
      <c r="J32" s="1160" t="s">
        <v>51</v>
      </c>
      <c r="K32" s="1160"/>
      <c r="L32" s="1163" t="s">
        <v>3179</v>
      </c>
      <c r="M32" s="1160"/>
      <c r="N32" s="1159" t="s">
        <v>3180</v>
      </c>
      <c r="O32" s="1165">
        <f>1990*2+70</f>
        <v>4050</v>
      </c>
      <c r="P32" s="1160"/>
      <c r="Q32" s="1160" t="s">
        <v>2674</v>
      </c>
      <c r="R32" s="1162">
        <v>2</v>
      </c>
      <c r="S32" s="1162">
        <v>2</v>
      </c>
      <c r="T32" s="1162">
        <v>1</v>
      </c>
      <c r="U32" s="1417">
        <v>1000</v>
      </c>
      <c r="V32" s="1167">
        <v>44608</v>
      </c>
      <c r="W32" s="1160" t="s">
        <v>1477</v>
      </c>
      <c r="X32" s="1160" t="s">
        <v>1154</v>
      </c>
      <c r="Y32" s="1160"/>
      <c r="Z32" s="1160"/>
      <c r="AA32" s="1160"/>
    </row>
    <row r="33" spans="1:27" s="498" customFormat="1">
      <c r="A33" s="1148" t="s">
        <v>2998</v>
      </c>
      <c r="B33" s="1148" t="s">
        <v>2999</v>
      </c>
      <c r="C33" s="1149">
        <v>44660</v>
      </c>
      <c r="D33" s="1149">
        <v>44688</v>
      </c>
      <c r="E33" s="1148" t="s">
        <v>3000</v>
      </c>
      <c r="F33" s="1148"/>
      <c r="G33" s="1150"/>
      <c r="H33" s="1148"/>
      <c r="I33" s="1148" t="s">
        <v>18</v>
      </c>
      <c r="J33" s="1148" t="s">
        <v>51</v>
      </c>
      <c r="K33" s="1148"/>
      <c r="L33" s="1156" t="s">
        <v>3002</v>
      </c>
      <c r="M33" s="1148"/>
      <c r="N33" s="1151" t="s">
        <v>3001</v>
      </c>
      <c r="O33" s="1152">
        <f>3760</f>
        <v>3760</v>
      </c>
      <c r="P33" s="1148"/>
      <c r="Q33" s="1148" t="s">
        <v>3003</v>
      </c>
      <c r="R33" s="1150">
        <v>4</v>
      </c>
      <c r="S33" s="1150">
        <v>5</v>
      </c>
      <c r="T33" s="1150">
        <v>2</v>
      </c>
      <c r="U33" s="1157">
        <f>O33/4</f>
        <v>940</v>
      </c>
      <c r="V33" s="1155">
        <v>44405</v>
      </c>
      <c r="W33" s="1148" t="s">
        <v>1338</v>
      </c>
      <c r="X33" s="1148" t="s">
        <v>1154</v>
      </c>
      <c r="Y33" s="1148" t="s">
        <v>3004</v>
      </c>
      <c r="Z33" s="1148"/>
      <c r="AA33" s="1148"/>
    </row>
    <row r="34" spans="1:27" ht="13.2">
      <c r="A34" s="1069" t="s">
        <v>3181</v>
      </c>
      <c r="B34" s="1069" t="s">
        <v>2480</v>
      </c>
      <c r="C34" s="1070">
        <v>44758</v>
      </c>
      <c r="D34" s="1070">
        <v>44765</v>
      </c>
      <c r="E34" s="1069" t="s">
        <v>3182</v>
      </c>
      <c r="F34" s="1069"/>
      <c r="G34" s="1071" t="s">
        <v>3183</v>
      </c>
      <c r="H34" s="1069" t="s">
        <v>3184</v>
      </c>
      <c r="I34" s="1069" t="s">
        <v>18</v>
      </c>
      <c r="J34" s="1069" t="s">
        <v>51</v>
      </c>
      <c r="K34" s="1069"/>
      <c r="L34" s="1072" t="s">
        <v>3185</v>
      </c>
      <c r="M34" s="1069"/>
      <c r="N34" s="401" t="s">
        <v>3186</v>
      </c>
      <c r="O34" s="1174">
        <f>1990+70+42</f>
        <v>2102</v>
      </c>
      <c r="P34" s="1069"/>
      <c r="Q34" s="1069" t="s">
        <v>1192</v>
      </c>
      <c r="R34" s="1071">
        <v>1</v>
      </c>
      <c r="S34" s="1071">
        <v>2</v>
      </c>
      <c r="T34" s="1071">
        <v>2</v>
      </c>
      <c r="U34" s="1175">
        <v>500</v>
      </c>
      <c r="V34" s="1176">
        <v>44609</v>
      </c>
      <c r="W34" s="1069" t="s">
        <v>1477</v>
      </c>
      <c r="X34" s="1069" t="s">
        <v>1154</v>
      </c>
      <c r="Y34" s="1069"/>
      <c r="Z34" s="1069"/>
      <c r="AA34" s="1069"/>
    </row>
    <row r="35" spans="1:27" s="115" customFormat="1">
      <c r="A35" s="355" t="s">
        <v>2834</v>
      </c>
      <c r="B35" s="355" t="s">
        <v>264</v>
      </c>
      <c r="C35" s="357">
        <v>44380</v>
      </c>
      <c r="D35" s="357">
        <v>44401</v>
      </c>
      <c r="E35" s="934" t="s">
        <v>2835</v>
      </c>
      <c r="F35" s="355"/>
      <c r="G35" s="934" t="s">
        <v>2836</v>
      </c>
      <c r="H35" s="355" t="s">
        <v>868</v>
      </c>
      <c r="I35" s="355" t="s">
        <v>18</v>
      </c>
      <c r="J35" s="355" t="s">
        <v>51</v>
      </c>
      <c r="K35" s="355" t="s">
        <v>2838</v>
      </c>
      <c r="L35" s="934" t="s">
        <v>2837</v>
      </c>
      <c r="M35" s="355"/>
      <c r="N35" s="365" t="s">
        <v>2839</v>
      </c>
      <c r="O35" s="359">
        <f>2000*3</f>
        <v>6000</v>
      </c>
      <c r="P35" s="355"/>
      <c r="Q35" s="355" t="s">
        <v>2840</v>
      </c>
      <c r="R35" s="358">
        <v>3</v>
      </c>
      <c r="S35" s="358">
        <v>3</v>
      </c>
      <c r="T35" s="358">
        <v>1</v>
      </c>
      <c r="U35" s="417">
        <v>1492.5</v>
      </c>
      <c r="V35" s="360">
        <v>44206</v>
      </c>
      <c r="W35" s="355" t="s">
        <v>1477</v>
      </c>
      <c r="X35" s="355" t="s">
        <v>1154</v>
      </c>
      <c r="Y35" s="355"/>
      <c r="Z35" s="355"/>
      <c r="AA35" s="355"/>
    </row>
    <row r="36" spans="1:27" s="115" customFormat="1">
      <c r="A36" s="699" t="s">
        <v>2489</v>
      </c>
      <c r="B36" s="699" t="s">
        <v>2488</v>
      </c>
      <c r="C36" s="700">
        <v>43932</v>
      </c>
      <c r="D36" s="700">
        <v>43939</v>
      </c>
      <c r="E36" s="699" t="s">
        <v>2490</v>
      </c>
      <c r="F36" s="1113"/>
      <c r="G36" s="701" t="s">
        <v>2491</v>
      </c>
      <c r="H36" s="937" t="s">
        <v>2492</v>
      </c>
      <c r="I36" s="699" t="s">
        <v>18</v>
      </c>
      <c r="J36" s="699" t="s">
        <v>1023</v>
      </c>
      <c r="K36" s="699"/>
      <c r="L36" s="703" t="s">
        <v>2493</v>
      </c>
      <c r="M36" s="699"/>
      <c r="N36" s="875" t="s">
        <v>2494</v>
      </c>
      <c r="O36" s="699"/>
      <c r="P36" s="699" t="s">
        <v>1244</v>
      </c>
      <c r="Q36" s="704">
        <v>890</v>
      </c>
      <c r="R36" s="701"/>
      <c r="S36" s="701">
        <v>4</v>
      </c>
      <c r="T36" s="701">
        <v>1</v>
      </c>
      <c r="U36" s="1414">
        <v>222.5</v>
      </c>
      <c r="V36" s="706">
        <v>43863</v>
      </c>
      <c r="W36" s="699" t="s">
        <v>1477</v>
      </c>
      <c r="X36" s="699" t="s">
        <v>1154</v>
      </c>
      <c r="Y36" s="699" t="s">
        <v>2559</v>
      </c>
      <c r="Z36" s="699"/>
      <c r="AA36" s="699"/>
    </row>
    <row r="37" spans="1:27" s="757" customFormat="1">
      <c r="A37" s="115" t="s">
        <v>2676</v>
      </c>
      <c r="B37" s="115" t="s">
        <v>2677</v>
      </c>
      <c r="C37" s="116">
        <v>44485</v>
      </c>
      <c r="D37" s="116">
        <v>44492</v>
      </c>
      <c r="E37" s="115" t="s">
        <v>2678</v>
      </c>
      <c r="F37" s="115"/>
      <c r="G37" s="361" t="s">
        <v>2679</v>
      </c>
      <c r="H37" s="115" t="s">
        <v>2680</v>
      </c>
      <c r="I37" s="115" t="s">
        <v>18</v>
      </c>
      <c r="J37" s="115" t="s">
        <v>51</v>
      </c>
      <c r="K37" s="115" t="s">
        <v>2681</v>
      </c>
      <c r="L37" s="124" t="s">
        <v>2682</v>
      </c>
      <c r="M37" s="115"/>
      <c r="N37" s="128" t="s">
        <v>2683</v>
      </c>
      <c r="O37" s="118">
        <v>990</v>
      </c>
      <c r="P37" s="115"/>
      <c r="Q37" s="115" t="s">
        <v>2684</v>
      </c>
      <c r="R37" s="361">
        <v>1</v>
      </c>
      <c r="S37" s="361">
        <v>4</v>
      </c>
      <c r="T37" s="361">
        <v>1</v>
      </c>
      <c r="U37" s="129">
        <v>250</v>
      </c>
      <c r="V37" s="120">
        <v>44073</v>
      </c>
      <c r="W37" s="115"/>
      <c r="X37" s="115" t="s">
        <v>1154</v>
      </c>
      <c r="Y37" s="115"/>
      <c r="Z37" s="115"/>
      <c r="AA37" s="115"/>
    </row>
    <row r="38" spans="1:27" s="115" customFormat="1">
      <c r="A38" s="115" t="s">
        <v>2676</v>
      </c>
      <c r="B38" s="115" t="s">
        <v>2677</v>
      </c>
      <c r="C38" s="116">
        <v>44856</v>
      </c>
      <c r="D38" s="116">
        <v>44863</v>
      </c>
      <c r="E38" s="115" t="s">
        <v>2678</v>
      </c>
      <c r="G38" s="361" t="s">
        <v>2679</v>
      </c>
      <c r="H38" s="115" t="s">
        <v>2680</v>
      </c>
      <c r="I38" s="115" t="s">
        <v>18</v>
      </c>
      <c r="J38" s="115" t="s">
        <v>51</v>
      </c>
      <c r="K38" s="115" t="s">
        <v>2681</v>
      </c>
      <c r="L38" s="124" t="s">
        <v>2682</v>
      </c>
      <c r="N38" s="128" t="s">
        <v>2683</v>
      </c>
      <c r="O38" s="118">
        <f>1090+70+21</f>
        <v>1181</v>
      </c>
      <c r="Q38" s="115" t="s">
        <v>3095</v>
      </c>
      <c r="R38" s="361">
        <v>1</v>
      </c>
      <c r="S38" s="361">
        <v>4</v>
      </c>
      <c r="T38" s="361">
        <v>1</v>
      </c>
      <c r="U38" s="129">
        <v>280</v>
      </c>
      <c r="V38" s="120">
        <v>44522</v>
      </c>
      <c r="W38" s="115" t="s">
        <v>3015</v>
      </c>
      <c r="X38" s="115" t="s">
        <v>1154</v>
      </c>
    </row>
    <row r="39" spans="1:27" s="115" customFormat="1">
      <c r="A39" s="1148" t="s">
        <v>2968</v>
      </c>
      <c r="B39" s="1148" t="s">
        <v>2969</v>
      </c>
      <c r="C39" s="1149">
        <v>44688</v>
      </c>
      <c r="D39" s="1149">
        <v>44695</v>
      </c>
      <c r="E39" s="1148" t="s">
        <v>2970</v>
      </c>
      <c r="F39" s="1148"/>
      <c r="G39" s="1150" t="s">
        <v>2971</v>
      </c>
      <c r="H39" s="1148" t="s">
        <v>2972</v>
      </c>
      <c r="I39" s="1148" t="s">
        <v>18</v>
      </c>
      <c r="J39" s="1148" t="s">
        <v>51</v>
      </c>
      <c r="K39" s="1148"/>
      <c r="L39" s="1148" t="s">
        <v>2973</v>
      </c>
      <c r="M39" s="1148"/>
      <c r="N39" s="1151" t="s">
        <v>2974</v>
      </c>
      <c r="O39" s="1152">
        <f>1090*1+21+70</f>
        <v>1181</v>
      </c>
      <c r="P39" s="1148"/>
      <c r="Q39" s="1148" t="s">
        <v>2975</v>
      </c>
      <c r="R39" s="1150">
        <v>1</v>
      </c>
      <c r="S39" s="1150">
        <v>3</v>
      </c>
      <c r="T39" s="1150">
        <v>1</v>
      </c>
      <c r="U39" s="1413">
        <v>545</v>
      </c>
      <c r="V39" s="1155">
        <v>44375</v>
      </c>
      <c r="W39" s="1148" t="s">
        <v>1477</v>
      </c>
      <c r="X39" s="1148" t="s">
        <v>1154</v>
      </c>
      <c r="Y39" s="1148" t="s">
        <v>3136</v>
      </c>
      <c r="Z39" s="1148"/>
      <c r="AA39" s="1148"/>
    </row>
    <row r="40" spans="1:27" s="115" customFormat="1" ht="13.2">
      <c r="A40" s="1148" t="s">
        <v>1792</v>
      </c>
      <c r="B40" s="1148" t="s">
        <v>1793</v>
      </c>
      <c r="C40" s="1149">
        <v>44716</v>
      </c>
      <c r="D40" s="1149">
        <v>44730</v>
      </c>
      <c r="E40" s="1148" t="s">
        <v>2963</v>
      </c>
      <c r="F40" s="1148"/>
      <c r="G40" s="1150" t="s">
        <v>2964</v>
      </c>
      <c r="H40" s="1148" t="s">
        <v>2965</v>
      </c>
      <c r="I40" s="1148" t="s">
        <v>168</v>
      </c>
      <c r="J40" s="1148" t="s">
        <v>51</v>
      </c>
      <c r="K40" s="1148"/>
      <c r="L40" s="1148" t="s">
        <v>1797</v>
      </c>
      <c r="M40" s="1148"/>
      <c r="N40" s="1159" t="s">
        <v>1798</v>
      </c>
      <c r="O40" s="1152">
        <f>1390+1590+70+3*4*14</f>
        <v>3218</v>
      </c>
      <c r="P40" s="1148"/>
      <c r="Q40" s="1148" t="s">
        <v>1300</v>
      </c>
      <c r="R40" s="1150">
        <v>2</v>
      </c>
      <c r="S40" s="1150">
        <v>2</v>
      </c>
      <c r="T40" s="1150">
        <v>3</v>
      </c>
      <c r="U40" s="1413">
        <v>745</v>
      </c>
      <c r="V40" s="1155">
        <v>44375</v>
      </c>
      <c r="W40" s="1148" t="s">
        <v>2966</v>
      </c>
      <c r="X40" s="1148" t="s">
        <v>1154</v>
      </c>
      <c r="Y40" s="1148" t="s">
        <v>3228</v>
      </c>
      <c r="Z40" s="1148"/>
      <c r="AA40" s="1148"/>
    </row>
    <row r="41" spans="1:27" s="115" customFormat="1">
      <c r="A41" s="1003" t="s">
        <v>2716</v>
      </c>
      <c r="B41" s="1003" t="s">
        <v>603</v>
      </c>
      <c r="C41" s="1004">
        <v>44555</v>
      </c>
      <c r="D41" s="1004">
        <v>44562</v>
      </c>
      <c r="E41" s="1118" t="s">
        <v>2717</v>
      </c>
      <c r="F41" s="1003"/>
      <c r="G41" s="1005" t="s">
        <v>2718</v>
      </c>
      <c r="H41" s="1003" t="s">
        <v>2721</v>
      </c>
      <c r="I41" s="1003" t="s">
        <v>18</v>
      </c>
      <c r="J41" s="1003" t="s">
        <v>51</v>
      </c>
      <c r="K41" s="1003"/>
      <c r="L41" s="1006" t="s">
        <v>2719</v>
      </c>
      <c r="M41" s="1003"/>
      <c r="N41" s="1007" t="s">
        <v>2720</v>
      </c>
      <c r="O41" s="1008">
        <v>1190</v>
      </c>
      <c r="P41" s="1003"/>
      <c r="Q41" s="1003" t="s">
        <v>3096</v>
      </c>
      <c r="R41" s="1005">
        <v>1</v>
      </c>
      <c r="S41" s="1005">
        <v>2</v>
      </c>
      <c r="T41" s="1005">
        <v>1</v>
      </c>
      <c r="U41" s="1009">
        <v>250</v>
      </c>
      <c r="V41" s="1010">
        <v>44186</v>
      </c>
      <c r="W41" s="1003" t="s">
        <v>1477</v>
      </c>
      <c r="X41" s="1003" t="s">
        <v>1154</v>
      </c>
      <c r="Y41" s="1003"/>
      <c r="Z41" s="1003"/>
      <c r="AA41" s="1003"/>
    </row>
    <row r="42" spans="1:27" s="115" customFormat="1">
      <c r="A42" s="946" t="s">
        <v>2792</v>
      </c>
      <c r="B42" s="946" t="s">
        <v>2793</v>
      </c>
      <c r="C42" s="947">
        <v>44282</v>
      </c>
      <c r="D42" s="947">
        <v>44289</v>
      </c>
      <c r="E42" s="946" t="s">
        <v>2796</v>
      </c>
      <c r="F42" s="946"/>
      <c r="G42" s="948" t="s">
        <v>2798</v>
      </c>
      <c r="H42" s="946" t="s">
        <v>2797</v>
      </c>
      <c r="I42" s="946" t="s">
        <v>18</v>
      </c>
      <c r="J42" s="946" t="s">
        <v>51</v>
      </c>
      <c r="K42" s="946" t="s">
        <v>2794</v>
      </c>
      <c r="L42" s="949" t="s">
        <v>2799</v>
      </c>
      <c r="M42" s="946"/>
      <c r="N42" s="875" t="s">
        <v>2795</v>
      </c>
      <c r="O42" s="950">
        <v>890</v>
      </c>
      <c r="P42" s="946"/>
      <c r="Q42" s="946" t="s">
        <v>717</v>
      </c>
      <c r="R42" s="948">
        <v>1</v>
      </c>
      <c r="S42" s="948">
        <v>2</v>
      </c>
      <c r="T42" s="948">
        <v>2</v>
      </c>
      <c r="U42" s="951">
        <v>222.5</v>
      </c>
      <c r="V42" s="952">
        <v>44172</v>
      </c>
      <c r="W42" s="946" t="s">
        <v>1477</v>
      </c>
      <c r="X42" s="946" t="s">
        <v>1154</v>
      </c>
      <c r="Y42" s="946"/>
      <c r="Z42" s="946"/>
      <c r="AA42" s="946"/>
    </row>
    <row r="43" spans="1:27" s="115" customFormat="1">
      <c r="A43" s="946" t="s">
        <v>2792</v>
      </c>
      <c r="B43" s="946" t="s">
        <v>2793</v>
      </c>
      <c r="C43" s="947">
        <v>45017</v>
      </c>
      <c r="D43" s="947">
        <v>45024</v>
      </c>
      <c r="E43" s="946" t="s">
        <v>2796</v>
      </c>
      <c r="F43" s="946"/>
      <c r="G43" s="948" t="s">
        <v>2798</v>
      </c>
      <c r="H43" s="946" t="s">
        <v>2797</v>
      </c>
      <c r="I43" s="946" t="s">
        <v>18</v>
      </c>
      <c r="J43" s="946" t="s">
        <v>51</v>
      </c>
      <c r="K43" s="946" t="s">
        <v>2794</v>
      </c>
      <c r="L43" s="949" t="s">
        <v>2799</v>
      </c>
      <c r="M43" s="946"/>
      <c r="N43" s="875" t="s">
        <v>2795</v>
      </c>
      <c r="O43" s="950">
        <v>1190</v>
      </c>
      <c r="P43" s="946"/>
      <c r="Q43" s="946" t="s">
        <v>717</v>
      </c>
      <c r="R43" s="948">
        <v>1</v>
      </c>
      <c r="S43" s="948">
        <v>2</v>
      </c>
      <c r="T43" s="948">
        <v>2</v>
      </c>
      <c r="U43" s="951"/>
      <c r="V43" s="952">
        <v>44933</v>
      </c>
      <c r="W43" s="946" t="s">
        <v>1477</v>
      </c>
      <c r="X43" s="946" t="s">
        <v>1154</v>
      </c>
      <c r="Y43" s="946" t="s">
        <v>3400</v>
      </c>
      <c r="Z43" s="946"/>
      <c r="AA43" s="946"/>
    </row>
    <row r="44" spans="1:27">
      <c r="A44" s="1160" t="s">
        <v>2723</v>
      </c>
      <c r="B44" s="1160" t="s">
        <v>2722</v>
      </c>
      <c r="C44" s="1161">
        <v>44730</v>
      </c>
      <c r="D44" s="1161">
        <v>44744</v>
      </c>
      <c r="E44" s="1160"/>
      <c r="F44" s="1160"/>
      <c r="G44" s="1162"/>
      <c r="H44" s="1160"/>
      <c r="I44" s="1160" t="s">
        <v>18</v>
      </c>
      <c r="J44" s="1160" t="s">
        <v>51</v>
      </c>
      <c r="K44" s="1160"/>
      <c r="L44" s="1163" t="s">
        <v>2724</v>
      </c>
      <c r="M44" s="1160"/>
      <c r="N44" s="1164" t="s">
        <v>2725</v>
      </c>
      <c r="O44" s="1165">
        <f>1590+1990+70+50</f>
        <v>3700</v>
      </c>
      <c r="P44" s="1160"/>
      <c r="Q44" s="1160" t="s">
        <v>717</v>
      </c>
      <c r="R44" s="1162">
        <v>2</v>
      </c>
      <c r="S44" s="1162">
        <v>2</v>
      </c>
      <c r="T44" s="1162">
        <v>2</v>
      </c>
      <c r="U44" s="1166">
        <v>800</v>
      </c>
      <c r="V44" s="1167">
        <v>44457</v>
      </c>
      <c r="W44" s="1160" t="s">
        <v>1477</v>
      </c>
      <c r="X44" s="1160" t="s">
        <v>1154</v>
      </c>
      <c r="Y44" s="1160"/>
      <c r="Z44" s="1160"/>
      <c r="AA44" s="1160"/>
    </row>
    <row r="45" spans="1:27" s="689" customFormat="1" ht="13.2">
      <c r="A45" s="440" t="s">
        <v>3193</v>
      </c>
      <c r="B45" s="440" t="s">
        <v>3194</v>
      </c>
      <c r="C45" s="441">
        <v>44849</v>
      </c>
      <c r="D45" s="441">
        <v>44856</v>
      </c>
      <c r="E45" s="1222" t="s">
        <v>3196</v>
      </c>
      <c r="F45" s="440"/>
      <c r="G45" s="442" t="s">
        <v>3197</v>
      </c>
      <c r="H45" s="440" t="s">
        <v>3198</v>
      </c>
      <c r="I45" s="440" t="s">
        <v>18</v>
      </c>
      <c r="J45" s="440" t="s">
        <v>51</v>
      </c>
      <c r="K45" s="440"/>
      <c r="L45" s="440" t="s">
        <v>3199</v>
      </c>
      <c r="M45" s="440"/>
      <c r="N45" s="443" t="s">
        <v>3200</v>
      </c>
      <c r="O45" s="444"/>
      <c r="P45" s="440"/>
      <c r="Q45" s="440" t="s">
        <v>3195</v>
      </c>
      <c r="R45" s="442">
        <v>0</v>
      </c>
      <c r="S45" s="442">
        <v>3</v>
      </c>
      <c r="T45" s="442">
        <v>2</v>
      </c>
      <c r="U45" s="449"/>
      <c r="V45" s="445">
        <v>44640</v>
      </c>
      <c r="W45" s="440" t="s">
        <v>1477</v>
      </c>
      <c r="X45" s="440" t="s">
        <v>1154</v>
      </c>
      <c r="Y45" s="440"/>
      <c r="Z45" s="440"/>
      <c r="AA45" s="440"/>
    </row>
    <row r="46" spans="1:27" s="689" customFormat="1">
      <c r="A46" s="939" t="s">
        <v>2827</v>
      </c>
      <c r="B46" s="939" t="s">
        <v>2828</v>
      </c>
      <c r="C46" s="940">
        <v>44506</v>
      </c>
      <c r="D46" s="940">
        <v>44520</v>
      </c>
      <c r="E46" s="1116" t="s">
        <v>2830</v>
      </c>
      <c r="F46" s="939"/>
      <c r="G46" s="941" t="s">
        <v>2831</v>
      </c>
      <c r="H46" s="939" t="s">
        <v>2832</v>
      </c>
      <c r="I46" s="939" t="s">
        <v>18</v>
      </c>
      <c r="J46" s="939" t="s">
        <v>51</v>
      </c>
      <c r="K46" s="939"/>
      <c r="L46" s="942" t="s">
        <v>2829</v>
      </c>
      <c r="M46" s="939"/>
      <c r="N46" s="1117" t="s">
        <v>2833</v>
      </c>
      <c r="O46" s="943">
        <v>1740</v>
      </c>
      <c r="P46" s="939"/>
      <c r="Q46" s="939" t="s">
        <v>2886</v>
      </c>
      <c r="R46" s="941">
        <v>2</v>
      </c>
      <c r="S46" s="941">
        <v>2</v>
      </c>
      <c r="T46" s="941">
        <v>2</v>
      </c>
      <c r="U46" s="944">
        <v>435</v>
      </c>
      <c r="V46" s="945">
        <v>44195</v>
      </c>
      <c r="W46" s="939" t="s">
        <v>1477</v>
      </c>
      <c r="X46" s="939" t="s">
        <v>1154</v>
      </c>
      <c r="Y46" s="939"/>
      <c r="Z46" s="939"/>
      <c r="AA46" s="939"/>
    </row>
    <row r="47" spans="1:27" ht="13.2">
      <c r="A47" s="1136" t="s">
        <v>3331</v>
      </c>
      <c r="B47" s="1136" t="s">
        <v>2983</v>
      </c>
      <c r="C47" s="1137">
        <v>44863</v>
      </c>
      <c r="D47" s="1137">
        <v>44870</v>
      </c>
      <c r="E47" s="1136"/>
      <c r="F47" s="1136"/>
      <c r="G47" s="1139"/>
      <c r="H47" s="1136"/>
      <c r="I47" s="1136" t="s">
        <v>18</v>
      </c>
      <c r="J47" s="1136" t="s">
        <v>51</v>
      </c>
      <c r="K47" s="1136" t="s">
        <v>3332</v>
      </c>
      <c r="L47" s="1145"/>
      <c r="M47" s="1136"/>
      <c r="N47" s="1181" t="s">
        <v>3333</v>
      </c>
      <c r="O47" s="1221">
        <f>1090+3*3*7+70</f>
        <v>1223</v>
      </c>
      <c r="P47" s="1136"/>
      <c r="Q47" s="1136" t="s">
        <v>3334</v>
      </c>
      <c r="R47" s="1139">
        <v>1</v>
      </c>
      <c r="S47" s="1139">
        <v>4</v>
      </c>
      <c r="T47" s="1139">
        <v>3</v>
      </c>
      <c r="U47" s="1220"/>
      <c r="V47" s="1199">
        <v>44824</v>
      </c>
      <c r="W47" s="1136" t="s">
        <v>1477</v>
      </c>
      <c r="X47" s="1136" t="s">
        <v>1154</v>
      </c>
      <c r="Y47" s="1136"/>
      <c r="Z47" s="1136"/>
      <c r="AA47" s="1136"/>
    </row>
    <row r="48" spans="1:27" s="115" customFormat="1">
      <c r="A48" s="115" t="s">
        <v>2397</v>
      </c>
      <c r="B48" s="115" t="s">
        <v>396</v>
      </c>
      <c r="C48" s="116">
        <v>43817</v>
      </c>
      <c r="D48" s="116">
        <v>43827</v>
      </c>
      <c r="E48" s="115" t="s">
        <v>2398</v>
      </c>
      <c r="G48" s="361" t="s">
        <v>2399</v>
      </c>
      <c r="H48" s="115" t="s">
        <v>2400</v>
      </c>
      <c r="I48" s="115" t="s">
        <v>1775</v>
      </c>
      <c r="J48" s="115" t="s">
        <v>1023</v>
      </c>
      <c r="L48" s="124" t="s">
        <v>2401</v>
      </c>
      <c r="N48" s="128" t="s">
        <v>2402</v>
      </c>
      <c r="O48" s="118">
        <v>1785</v>
      </c>
      <c r="R48" s="361">
        <v>1.5</v>
      </c>
      <c r="S48" s="361">
        <v>2</v>
      </c>
      <c r="T48" s="361">
        <v>1</v>
      </c>
      <c r="U48" s="119">
        <v>446.25</v>
      </c>
      <c r="V48" s="120">
        <v>43801</v>
      </c>
      <c r="W48" s="115" t="s">
        <v>1477</v>
      </c>
      <c r="X48" s="115" t="s">
        <v>1154</v>
      </c>
    </row>
    <row r="49" spans="1:27" ht="10.8" thickBot="1">
      <c r="A49" s="115" t="s">
        <v>2504</v>
      </c>
      <c r="B49" s="115" t="s">
        <v>2503</v>
      </c>
      <c r="C49" s="116">
        <v>44072</v>
      </c>
      <c r="D49" s="116">
        <v>44079</v>
      </c>
      <c r="E49" s="115" t="s">
        <v>2505</v>
      </c>
      <c r="F49" s="115"/>
      <c r="G49" s="361" t="s">
        <v>2506</v>
      </c>
      <c r="H49" s="115" t="s">
        <v>2507</v>
      </c>
      <c r="I49" s="496" t="s">
        <v>1674</v>
      </c>
      <c r="J49" s="115" t="s">
        <v>51</v>
      </c>
      <c r="K49" s="115"/>
      <c r="L49" s="124" t="s">
        <v>2508</v>
      </c>
      <c r="M49" s="115"/>
      <c r="N49" s="128" t="s">
        <v>2509</v>
      </c>
      <c r="O49" s="118">
        <v>1990</v>
      </c>
      <c r="P49" s="115" t="s">
        <v>2510</v>
      </c>
      <c r="Q49" s="115" t="s">
        <v>2424</v>
      </c>
      <c r="R49" s="361">
        <v>1</v>
      </c>
      <c r="S49" s="361" t="s">
        <v>2511</v>
      </c>
      <c r="T49" s="361">
        <v>1</v>
      </c>
      <c r="U49" s="129">
        <v>500</v>
      </c>
      <c r="V49" s="120">
        <v>43863</v>
      </c>
      <c r="W49" s="115"/>
      <c r="X49" s="115"/>
      <c r="Y49" s="115"/>
      <c r="Z49" s="115"/>
      <c r="AA49" s="115"/>
    </row>
    <row r="50" spans="1:27" ht="13.8" thickBot="1">
      <c r="A50" s="1389" t="s">
        <v>3077</v>
      </c>
      <c r="B50" s="1394" t="s">
        <v>256</v>
      </c>
      <c r="C50" s="1149">
        <v>44821</v>
      </c>
      <c r="D50" s="1402">
        <v>44835</v>
      </c>
      <c r="E50" s="1406"/>
      <c r="F50" s="1148"/>
      <c r="G50" s="1150"/>
      <c r="H50" s="1148"/>
      <c r="I50" s="1148" t="s">
        <v>18</v>
      </c>
      <c r="J50" s="1148" t="s">
        <v>51</v>
      </c>
      <c r="K50" s="1148"/>
      <c r="L50" s="1148" t="s">
        <v>3078</v>
      </c>
      <c r="M50" s="1148"/>
      <c r="N50" s="1159" t="s">
        <v>3079</v>
      </c>
      <c r="O50" s="1152">
        <f>1290*2+70</f>
        <v>2650</v>
      </c>
      <c r="P50" s="1148"/>
      <c r="Q50" s="1148" t="s">
        <v>2674</v>
      </c>
      <c r="R50" s="1150">
        <v>2</v>
      </c>
      <c r="S50" s="1150">
        <v>2</v>
      </c>
      <c r="T50" s="1150">
        <v>1</v>
      </c>
      <c r="U50" s="1157">
        <v>645</v>
      </c>
      <c r="V50" s="1155">
        <v>44511</v>
      </c>
      <c r="W50" s="1148"/>
      <c r="X50" s="1148" t="s">
        <v>1154</v>
      </c>
      <c r="Y50" s="1148"/>
      <c r="Z50" s="1148"/>
      <c r="AA50" s="1148"/>
    </row>
    <row r="51" spans="1:27" ht="10.8" thickBot="1">
      <c r="A51" s="1390" t="s">
        <v>2760</v>
      </c>
      <c r="B51" s="1396" t="s">
        <v>2761</v>
      </c>
      <c r="C51" s="1401">
        <v>44359</v>
      </c>
      <c r="D51" s="1404">
        <v>44373</v>
      </c>
      <c r="E51" s="1409" t="s">
        <v>2762</v>
      </c>
      <c r="F51" s="923"/>
      <c r="G51" s="925"/>
      <c r="H51" s="923"/>
      <c r="I51" s="923" t="s">
        <v>18</v>
      </c>
      <c r="J51" s="923" t="s">
        <v>51</v>
      </c>
      <c r="K51" s="923"/>
      <c r="L51" s="926" t="s">
        <v>2763</v>
      </c>
      <c r="M51" s="923"/>
      <c r="N51" s="128" t="s">
        <v>2764</v>
      </c>
      <c r="O51" s="927">
        <f>1190+1590</f>
        <v>2780</v>
      </c>
      <c r="P51" s="923"/>
      <c r="Q51" s="923" t="s">
        <v>2674</v>
      </c>
      <c r="R51" s="925">
        <v>2</v>
      </c>
      <c r="S51" s="925">
        <v>2</v>
      </c>
      <c r="T51" s="925">
        <v>1</v>
      </c>
      <c r="U51" s="928">
        <v>695</v>
      </c>
      <c r="V51" s="929">
        <v>44126</v>
      </c>
      <c r="W51" s="923" t="s">
        <v>1477</v>
      </c>
      <c r="X51" s="923" t="s">
        <v>1154</v>
      </c>
      <c r="Y51" s="923"/>
      <c r="Z51" s="923"/>
      <c r="AA51" s="923"/>
    </row>
    <row r="52" spans="1:27" ht="10.8" thickBot="1">
      <c r="A52" s="115" t="s">
        <v>2453</v>
      </c>
      <c r="B52" s="115" t="s">
        <v>1772</v>
      </c>
      <c r="C52" s="116">
        <v>44058</v>
      </c>
      <c r="D52" s="561">
        <v>44072</v>
      </c>
      <c r="E52" s="543" t="s">
        <v>2562</v>
      </c>
      <c r="F52" s="115"/>
      <c r="G52" s="361" t="s">
        <v>2560</v>
      </c>
      <c r="H52" s="115" t="s">
        <v>2561</v>
      </c>
      <c r="I52" s="115" t="s">
        <v>168</v>
      </c>
      <c r="J52" s="115" t="s">
        <v>51</v>
      </c>
      <c r="K52" s="115"/>
      <c r="L52" s="124" t="s">
        <v>2455</v>
      </c>
      <c r="M52" s="115"/>
      <c r="N52" s="128" t="s">
        <v>2454</v>
      </c>
      <c r="O52" s="118">
        <f>1990*2+70</f>
        <v>4050</v>
      </c>
      <c r="P52" s="115"/>
      <c r="Q52" s="115" t="s">
        <v>1500</v>
      </c>
      <c r="R52" s="361">
        <v>2</v>
      </c>
      <c r="S52" s="361">
        <v>2</v>
      </c>
      <c r="T52" s="361">
        <v>1</v>
      </c>
      <c r="U52" s="129">
        <v>613</v>
      </c>
      <c r="V52" s="120">
        <v>43842</v>
      </c>
      <c r="W52" s="115" t="s">
        <v>1477</v>
      </c>
      <c r="X52" s="115" t="s">
        <v>1154</v>
      </c>
      <c r="Y52" s="115" t="s">
        <v>2563</v>
      </c>
      <c r="Z52" s="115"/>
      <c r="AA52" s="115"/>
    </row>
    <row r="53" spans="1:27" ht="10.8" thickBot="1">
      <c r="A53" s="517" t="s">
        <v>2672</v>
      </c>
      <c r="B53" s="539" t="s">
        <v>2671</v>
      </c>
      <c r="C53" s="116">
        <v>44093</v>
      </c>
      <c r="D53" s="561">
        <v>44107</v>
      </c>
      <c r="E53" s="543" t="s">
        <v>2667</v>
      </c>
      <c r="F53" s="115"/>
      <c r="G53" s="361" t="s">
        <v>2669</v>
      </c>
      <c r="H53" s="115" t="s">
        <v>2668</v>
      </c>
      <c r="I53" s="115" t="s">
        <v>18</v>
      </c>
      <c r="J53" s="115" t="s">
        <v>51</v>
      </c>
      <c r="K53" s="115"/>
      <c r="L53" s="124" t="s">
        <v>2670</v>
      </c>
      <c r="M53" s="115"/>
      <c r="N53" s="128" t="s">
        <v>2673</v>
      </c>
      <c r="O53" s="118">
        <f>1290*2</f>
        <v>2580</v>
      </c>
      <c r="P53" s="115"/>
      <c r="Q53" s="115" t="s">
        <v>2674</v>
      </c>
      <c r="R53" s="361">
        <v>2</v>
      </c>
      <c r="S53" s="361">
        <v>2</v>
      </c>
      <c r="T53" s="361">
        <v>1</v>
      </c>
      <c r="U53" s="129">
        <v>645</v>
      </c>
      <c r="V53" s="120">
        <v>44039</v>
      </c>
      <c r="W53" s="115" t="s">
        <v>1477</v>
      </c>
      <c r="X53" s="115" t="s">
        <v>1154</v>
      </c>
      <c r="Y53" s="115"/>
      <c r="Z53" s="115"/>
      <c r="AA53" s="115"/>
    </row>
    <row r="54" spans="1:27" ht="10.8" thickBot="1">
      <c r="A54" s="1391" t="s">
        <v>2923</v>
      </c>
      <c r="B54" s="1397" t="s">
        <v>2924</v>
      </c>
      <c r="C54" s="974">
        <v>44429</v>
      </c>
      <c r="D54" s="1403">
        <v>44436</v>
      </c>
      <c r="E54" s="1410"/>
      <c r="F54" s="973"/>
      <c r="G54" s="979"/>
      <c r="H54" s="973"/>
      <c r="I54" s="973" t="s">
        <v>18</v>
      </c>
      <c r="J54" s="973" t="s">
        <v>51</v>
      </c>
      <c r="K54" s="973"/>
      <c r="L54" s="973" t="s">
        <v>2926</v>
      </c>
      <c r="M54" s="973"/>
      <c r="N54" s="1115" t="s">
        <v>2925</v>
      </c>
      <c r="O54" s="975"/>
      <c r="P54" s="973"/>
      <c r="Q54" s="973" t="s">
        <v>2957</v>
      </c>
      <c r="R54" s="976">
        <v>0</v>
      </c>
      <c r="S54" s="976">
        <v>4</v>
      </c>
      <c r="T54" s="976">
        <v>1</v>
      </c>
      <c r="U54" s="977"/>
      <c r="V54" s="978">
        <v>44317</v>
      </c>
      <c r="W54" s="973" t="s">
        <v>2891</v>
      </c>
      <c r="X54" s="973" t="s">
        <v>1154</v>
      </c>
      <c r="Y54" s="973"/>
      <c r="Z54" s="973"/>
      <c r="AA54" s="973"/>
    </row>
    <row r="55" spans="1:27" ht="13.8" thickBot="1">
      <c r="A55" s="509" t="s">
        <v>3220</v>
      </c>
      <c r="B55" s="576" t="s">
        <v>3221</v>
      </c>
      <c r="C55" s="357">
        <v>44835</v>
      </c>
      <c r="D55" s="557">
        <v>44842</v>
      </c>
      <c r="E55" s="1408" t="s">
        <v>3222</v>
      </c>
      <c r="F55" s="355"/>
      <c r="G55" s="358" t="s">
        <v>3223</v>
      </c>
      <c r="H55" s="355" t="s">
        <v>720</v>
      </c>
      <c r="I55" s="355" t="s">
        <v>18</v>
      </c>
      <c r="J55" s="355" t="s">
        <v>51</v>
      </c>
      <c r="K55" s="355" t="s">
        <v>3225</v>
      </c>
      <c r="L55" s="355" t="s">
        <v>3224</v>
      </c>
      <c r="M55" s="355"/>
      <c r="N55" s="401" t="s">
        <v>3226</v>
      </c>
      <c r="O55" s="359">
        <f>1190+48+70</f>
        <v>1308</v>
      </c>
      <c r="P55" s="355"/>
      <c r="Q55" s="355" t="s">
        <v>3329</v>
      </c>
      <c r="R55" s="358">
        <v>1</v>
      </c>
      <c r="S55" s="358">
        <v>2</v>
      </c>
      <c r="T55" s="358">
        <v>2</v>
      </c>
      <c r="U55" s="417">
        <v>297.5</v>
      </c>
      <c r="V55" s="360">
        <v>44835</v>
      </c>
      <c r="W55" s="355" t="s">
        <v>1338</v>
      </c>
      <c r="X55" s="355" t="s">
        <v>1154</v>
      </c>
      <c r="Y55" s="355"/>
      <c r="Z55" s="355"/>
      <c r="AA55" s="355"/>
    </row>
    <row r="56" spans="1:27">
      <c r="A56" s="689" t="s">
        <v>2637</v>
      </c>
      <c r="B56" s="689" t="s">
        <v>2644</v>
      </c>
      <c r="C56" s="690">
        <v>44114</v>
      </c>
      <c r="D56" s="690">
        <v>44121</v>
      </c>
      <c r="E56" s="689" t="s">
        <v>2638</v>
      </c>
      <c r="F56" s="689"/>
      <c r="G56" s="691" t="s">
        <v>2639</v>
      </c>
      <c r="H56" s="689" t="s">
        <v>2640</v>
      </c>
      <c r="I56" s="689" t="s">
        <v>18</v>
      </c>
      <c r="J56" s="689" t="s">
        <v>51</v>
      </c>
      <c r="K56" s="689"/>
      <c r="L56" s="693" t="s">
        <v>2641</v>
      </c>
      <c r="M56" s="689"/>
      <c r="N56" s="874" t="s">
        <v>2642</v>
      </c>
      <c r="O56" s="694">
        <v>0</v>
      </c>
      <c r="P56" s="689"/>
      <c r="Q56" s="689" t="s">
        <v>2706</v>
      </c>
      <c r="R56" s="691">
        <v>0</v>
      </c>
      <c r="S56" s="691">
        <v>4</v>
      </c>
      <c r="T56" s="691">
        <v>1</v>
      </c>
      <c r="U56" s="697">
        <v>354</v>
      </c>
      <c r="V56" s="695">
        <v>44026</v>
      </c>
      <c r="W56" s="689" t="s">
        <v>1477</v>
      </c>
      <c r="X56" s="689" t="s">
        <v>1154</v>
      </c>
      <c r="Y56" s="689"/>
      <c r="Z56" s="689"/>
      <c r="AA56" s="689"/>
    </row>
    <row r="57" spans="1:27">
      <c r="A57" s="1003" t="s">
        <v>2637</v>
      </c>
      <c r="B57" s="1003" t="s">
        <v>2644</v>
      </c>
      <c r="C57" s="1004">
        <v>44478</v>
      </c>
      <c r="D57" s="1004">
        <v>44485</v>
      </c>
      <c r="E57" s="1003" t="s">
        <v>2638</v>
      </c>
      <c r="F57" s="1003"/>
      <c r="G57" s="1005" t="s">
        <v>2639</v>
      </c>
      <c r="H57" s="1003" t="s">
        <v>2640</v>
      </c>
      <c r="I57" s="1003" t="s">
        <v>18</v>
      </c>
      <c r="J57" s="1003" t="s">
        <v>51</v>
      </c>
      <c r="K57" s="1003"/>
      <c r="L57" s="1006" t="s">
        <v>2641</v>
      </c>
      <c r="M57" s="1003"/>
      <c r="N57" s="1007" t="s">
        <v>2642</v>
      </c>
      <c r="O57" s="1008">
        <v>354</v>
      </c>
      <c r="P57" s="1003"/>
      <c r="Q57" s="1003" t="s">
        <v>2706</v>
      </c>
      <c r="R57" s="1005">
        <v>1</v>
      </c>
      <c r="S57" s="1005">
        <v>4</v>
      </c>
      <c r="T57" s="1005">
        <v>1</v>
      </c>
      <c r="U57" s="1009">
        <v>354</v>
      </c>
      <c r="V57" s="1010">
        <v>44026</v>
      </c>
      <c r="W57" s="1003" t="s">
        <v>1477</v>
      </c>
      <c r="X57" s="1003" t="s">
        <v>1154</v>
      </c>
      <c r="Y57" s="1003"/>
      <c r="Z57" s="1003" t="s">
        <v>2937</v>
      </c>
      <c r="AA57" s="1003"/>
    </row>
    <row r="58" spans="1:27">
      <c r="A58" s="1148" t="s">
        <v>1653</v>
      </c>
      <c r="B58" s="1148" t="s">
        <v>264</v>
      </c>
      <c r="C58" s="1149">
        <v>44646</v>
      </c>
      <c r="D58" s="1149">
        <v>44660</v>
      </c>
      <c r="E58" s="1148" t="s">
        <v>1654</v>
      </c>
      <c r="F58" s="1148"/>
      <c r="G58" s="1150" t="s">
        <v>1655</v>
      </c>
      <c r="H58" s="1148" t="s">
        <v>937</v>
      </c>
      <c r="I58" s="1148" t="s">
        <v>18</v>
      </c>
      <c r="J58" s="1148" t="s">
        <v>51</v>
      </c>
      <c r="K58" s="1148" t="s">
        <v>1656</v>
      </c>
      <c r="L58" s="1148" t="s">
        <v>3040</v>
      </c>
      <c r="M58" s="1148"/>
      <c r="N58" s="1151" t="s">
        <v>1652</v>
      </c>
      <c r="O58" s="1152">
        <f>890*2</f>
        <v>1780</v>
      </c>
      <c r="P58" s="1148"/>
      <c r="Q58" s="1148" t="s">
        <v>717</v>
      </c>
      <c r="R58" s="1153">
        <v>2</v>
      </c>
      <c r="S58" s="1150">
        <v>2</v>
      </c>
      <c r="T58" s="1150">
        <v>2</v>
      </c>
      <c r="U58" s="1413">
        <v>445</v>
      </c>
      <c r="V58" s="1155">
        <v>44454</v>
      </c>
      <c r="W58" s="1148" t="s">
        <v>1519</v>
      </c>
      <c r="X58" s="1148" t="s">
        <v>1154</v>
      </c>
      <c r="Y58" s="1148"/>
      <c r="Z58" s="1148"/>
      <c r="AA58" s="1148"/>
    </row>
    <row r="59" spans="1:27">
      <c r="A59" s="115" t="s">
        <v>2848</v>
      </c>
      <c r="B59" s="115" t="s">
        <v>2849</v>
      </c>
      <c r="C59" s="116">
        <v>44415</v>
      </c>
      <c r="D59" s="116">
        <v>44429</v>
      </c>
      <c r="E59" s="935" t="s">
        <v>2850</v>
      </c>
      <c r="F59" s="115"/>
      <c r="G59" s="935" t="s">
        <v>2851</v>
      </c>
      <c r="H59" s="115" t="s">
        <v>2605</v>
      </c>
      <c r="I59" s="115" t="s">
        <v>18</v>
      </c>
      <c r="J59" s="115" t="s">
        <v>51</v>
      </c>
      <c r="K59" s="115"/>
      <c r="L59" s="935" t="s">
        <v>2852</v>
      </c>
      <c r="M59" s="115"/>
      <c r="N59" s="128" t="s">
        <v>2853</v>
      </c>
      <c r="O59" s="118">
        <f>1990*2</f>
        <v>3980</v>
      </c>
      <c r="P59" s="115"/>
      <c r="Q59" s="115" t="s">
        <v>2424</v>
      </c>
      <c r="R59" s="361">
        <v>2</v>
      </c>
      <c r="S59" s="361">
        <v>2</v>
      </c>
      <c r="T59" s="361">
        <v>1</v>
      </c>
      <c r="U59" s="129">
        <v>995</v>
      </c>
      <c r="V59" s="120"/>
      <c r="W59" s="115"/>
      <c r="X59" s="115"/>
      <c r="Y59" s="115"/>
      <c r="Z59" s="115"/>
      <c r="AA59" s="115"/>
    </row>
    <row r="60" spans="1:27">
      <c r="A60" s="115" t="s">
        <v>2433</v>
      </c>
      <c r="B60" s="115" t="s">
        <v>538</v>
      </c>
      <c r="C60" s="116">
        <v>44016</v>
      </c>
      <c r="D60" s="116">
        <v>44033</v>
      </c>
      <c r="E60" s="115" t="s">
        <v>2434</v>
      </c>
      <c r="F60" s="115"/>
      <c r="G60" s="361" t="s">
        <v>2435</v>
      </c>
      <c r="H60" s="115" t="s">
        <v>2436</v>
      </c>
      <c r="I60" s="115" t="s">
        <v>168</v>
      </c>
      <c r="J60" s="115" t="s">
        <v>1023</v>
      </c>
      <c r="K60" s="115"/>
      <c r="L60" s="124" t="s">
        <v>2437</v>
      </c>
      <c r="M60" s="115"/>
      <c r="N60" s="128" t="s">
        <v>2438</v>
      </c>
      <c r="O60" s="118">
        <f>1990*2.5</f>
        <v>4975</v>
      </c>
      <c r="P60" s="115" t="s">
        <v>1401</v>
      </c>
      <c r="Q60" s="115" t="s">
        <v>2439</v>
      </c>
      <c r="R60" s="361">
        <v>2.5</v>
      </c>
      <c r="S60" s="361">
        <v>4</v>
      </c>
      <c r="T60" s="361">
        <v>1</v>
      </c>
      <c r="U60" s="129">
        <v>4975</v>
      </c>
      <c r="V60" s="120">
        <v>43833</v>
      </c>
      <c r="W60" s="115" t="s">
        <v>1338</v>
      </c>
      <c r="X60" s="115" t="s">
        <v>1154</v>
      </c>
      <c r="Y60" s="115"/>
      <c r="Z60" s="115"/>
      <c r="AA60" s="115"/>
    </row>
    <row r="61" spans="1:27">
      <c r="A61" s="757" t="s">
        <v>2496</v>
      </c>
      <c r="B61" s="757" t="s">
        <v>2495</v>
      </c>
      <c r="C61" s="758">
        <v>44033</v>
      </c>
      <c r="D61" s="758">
        <v>44047</v>
      </c>
      <c r="E61" s="757" t="s">
        <v>2497</v>
      </c>
      <c r="F61" s="757"/>
      <c r="G61" s="759" t="s">
        <v>2498</v>
      </c>
      <c r="H61" s="757" t="s">
        <v>2499</v>
      </c>
      <c r="I61" s="757" t="s">
        <v>18</v>
      </c>
      <c r="J61" s="757" t="s">
        <v>1023</v>
      </c>
      <c r="K61" s="757"/>
      <c r="L61" s="760" t="s">
        <v>2500</v>
      </c>
      <c r="M61" s="757"/>
      <c r="N61" s="897" t="s">
        <v>2501</v>
      </c>
      <c r="O61" s="761">
        <v>495</v>
      </c>
      <c r="P61" s="757">
        <v>4</v>
      </c>
      <c r="Q61" s="757" t="s">
        <v>2502</v>
      </c>
      <c r="R61" s="759"/>
      <c r="S61" s="759">
        <v>4</v>
      </c>
      <c r="T61" s="759">
        <v>1</v>
      </c>
      <c r="U61" s="762">
        <v>995</v>
      </c>
      <c r="V61" s="763">
        <v>43863</v>
      </c>
      <c r="W61" s="757"/>
      <c r="X61" s="757" t="s">
        <v>1154</v>
      </c>
      <c r="Y61" s="757" t="s">
        <v>2572</v>
      </c>
      <c r="Z61" s="757"/>
      <c r="AA61" s="757"/>
    </row>
    <row r="62" spans="1:27">
      <c r="A62" s="115" t="s">
        <v>2319</v>
      </c>
      <c r="B62" s="115" t="s">
        <v>2320</v>
      </c>
      <c r="C62" s="116">
        <v>43719</v>
      </c>
      <c r="D62" s="116">
        <v>43736</v>
      </c>
      <c r="E62" s="115" t="s">
        <v>2321</v>
      </c>
      <c r="F62" s="115"/>
      <c r="G62" s="361" t="s">
        <v>2322</v>
      </c>
      <c r="H62" s="115" t="s">
        <v>2323</v>
      </c>
      <c r="I62" s="115" t="s">
        <v>18</v>
      </c>
      <c r="J62" s="115" t="s">
        <v>51</v>
      </c>
      <c r="K62" s="124" t="s">
        <v>2325</v>
      </c>
      <c r="L62" s="124" t="s">
        <v>2324</v>
      </c>
      <c r="M62" s="115"/>
      <c r="N62" s="363" t="s">
        <v>2326</v>
      </c>
      <c r="O62" s="118">
        <v>2980</v>
      </c>
      <c r="P62" s="115"/>
      <c r="Q62" s="115"/>
      <c r="R62" s="361">
        <v>2.5</v>
      </c>
      <c r="S62" s="361">
        <v>2</v>
      </c>
      <c r="T62" s="361">
        <v>2</v>
      </c>
      <c r="U62" s="129"/>
      <c r="V62" s="120"/>
      <c r="W62" s="115"/>
      <c r="X62" s="115"/>
      <c r="Y62" s="115"/>
      <c r="Z62" s="115"/>
      <c r="AA62" s="115"/>
    </row>
    <row r="63" spans="1:27" s="355" customFormat="1">
      <c r="A63" s="355" t="s">
        <v>2347</v>
      </c>
      <c r="B63" s="355" t="s">
        <v>2348</v>
      </c>
      <c r="C63" s="357">
        <v>43736</v>
      </c>
      <c r="D63" s="357">
        <v>43750</v>
      </c>
      <c r="E63" s="355" t="s">
        <v>2349</v>
      </c>
      <c r="F63" s="367"/>
      <c r="G63" s="358"/>
      <c r="H63" s="934"/>
      <c r="I63" s="355" t="s">
        <v>18</v>
      </c>
      <c r="J63" s="355" t="s">
        <v>51</v>
      </c>
      <c r="K63" s="368" t="s">
        <v>2351</v>
      </c>
      <c r="L63" s="368" t="s">
        <v>2350</v>
      </c>
      <c r="N63" s="365" t="s">
        <v>2352</v>
      </c>
      <c r="O63" s="359">
        <f>990+890</f>
        <v>1880</v>
      </c>
      <c r="R63" s="358">
        <v>2</v>
      </c>
      <c r="S63" s="358">
        <v>2</v>
      </c>
      <c r="T63" s="358">
        <v>1</v>
      </c>
      <c r="U63" s="478" t="s">
        <v>2353</v>
      </c>
      <c r="V63" s="360">
        <v>43681</v>
      </c>
      <c r="W63" s="355" t="s">
        <v>1477</v>
      </c>
      <c r="X63" s="355" t="s">
        <v>1154</v>
      </c>
    </row>
    <row r="64" spans="1:27" s="355" customFormat="1">
      <c r="A64" s="115" t="s">
        <v>2185</v>
      </c>
      <c r="B64" s="115" t="s">
        <v>2186</v>
      </c>
      <c r="C64" s="116">
        <v>43652</v>
      </c>
      <c r="D64" s="116">
        <v>43666</v>
      </c>
      <c r="E64" s="115" t="s">
        <v>2187</v>
      </c>
      <c r="F64" s="115"/>
      <c r="G64" s="361" t="s">
        <v>2188</v>
      </c>
      <c r="H64" s="115" t="s">
        <v>2189</v>
      </c>
      <c r="I64" s="115" t="s">
        <v>18</v>
      </c>
      <c r="J64" s="115" t="s">
        <v>51</v>
      </c>
      <c r="K64" s="115"/>
      <c r="L64" s="115" t="s">
        <v>2190</v>
      </c>
      <c r="M64" s="115"/>
      <c r="N64" s="128" t="s">
        <v>2191</v>
      </c>
      <c r="O64" s="118">
        <f>1590+1990</f>
        <v>3580</v>
      </c>
      <c r="P64" s="115"/>
      <c r="Q64" s="115"/>
      <c r="R64" s="361">
        <v>2</v>
      </c>
      <c r="S64" s="361">
        <v>3</v>
      </c>
      <c r="T64" s="361">
        <v>1</v>
      </c>
      <c r="U64" s="598">
        <v>895</v>
      </c>
      <c r="V64" s="120">
        <v>43467</v>
      </c>
      <c r="W64" s="120" t="s">
        <v>1769</v>
      </c>
      <c r="X64" s="115" t="s">
        <v>1154</v>
      </c>
      <c r="Y64" s="115"/>
      <c r="Z64" s="115"/>
      <c r="AA64" s="115"/>
    </row>
    <row r="65" spans="1:27">
      <c r="A65" s="115" t="s">
        <v>3239</v>
      </c>
      <c r="B65" s="115" t="s">
        <v>511</v>
      </c>
      <c r="C65" s="116">
        <v>45171</v>
      </c>
      <c r="D65" s="116">
        <v>45178</v>
      </c>
      <c r="E65" s="935" t="s">
        <v>3240</v>
      </c>
      <c r="F65" s="115"/>
      <c r="G65" s="935" t="s">
        <v>1955</v>
      </c>
      <c r="H65" s="115" t="s">
        <v>3241</v>
      </c>
      <c r="I65" s="115" t="s">
        <v>18</v>
      </c>
      <c r="J65" s="115" t="s">
        <v>1023</v>
      </c>
      <c r="K65" s="115"/>
      <c r="L65" s="935" t="s">
        <v>3242</v>
      </c>
      <c r="M65" s="115"/>
      <c r="N65" s="128"/>
      <c r="O65" s="118">
        <f>1990</f>
        <v>1990</v>
      </c>
      <c r="P65" s="115"/>
      <c r="Q65" s="115" t="s">
        <v>3243</v>
      </c>
      <c r="R65" s="361">
        <v>1</v>
      </c>
      <c r="S65" s="361">
        <v>3</v>
      </c>
      <c r="T65" s="361"/>
      <c r="U65" s="1134">
        <v>500</v>
      </c>
      <c r="V65" s="120">
        <v>44696</v>
      </c>
      <c r="W65" s="115"/>
      <c r="X65" s="115" t="s">
        <v>1154</v>
      </c>
      <c r="Y65" s="115" t="s">
        <v>3261</v>
      </c>
      <c r="Z65" s="115"/>
      <c r="AA65" s="115"/>
    </row>
    <row r="66" spans="1:27" s="946" customFormat="1">
      <c r="A66" s="115" t="s">
        <v>2841</v>
      </c>
      <c r="B66" s="115" t="s">
        <v>2967</v>
      </c>
      <c r="C66" s="116">
        <v>44436</v>
      </c>
      <c r="D66" s="116">
        <v>44457</v>
      </c>
      <c r="E66" s="935" t="s">
        <v>2842</v>
      </c>
      <c r="F66" s="115"/>
      <c r="G66" s="935" t="s">
        <v>2843</v>
      </c>
      <c r="H66" s="115" t="s">
        <v>2844</v>
      </c>
      <c r="I66" s="115" t="s">
        <v>54</v>
      </c>
      <c r="J66" s="115" t="s">
        <v>2568</v>
      </c>
      <c r="K66" s="115" t="s">
        <v>2846</v>
      </c>
      <c r="L66" s="935" t="s">
        <v>2845</v>
      </c>
      <c r="M66" s="115"/>
      <c r="N66" s="128" t="s">
        <v>2847</v>
      </c>
      <c r="O66" s="118">
        <f>1990+1590+1590</f>
        <v>5170</v>
      </c>
      <c r="P66" s="115"/>
      <c r="Q66" s="115" t="s">
        <v>717</v>
      </c>
      <c r="R66" s="361">
        <v>3</v>
      </c>
      <c r="S66" s="361">
        <v>2</v>
      </c>
      <c r="T66" s="361">
        <v>2</v>
      </c>
      <c r="U66" s="129">
        <v>1293</v>
      </c>
      <c r="V66" s="120">
        <v>44212</v>
      </c>
      <c r="W66" s="115" t="s">
        <v>1338</v>
      </c>
      <c r="X66" s="115" t="s">
        <v>1154</v>
      </c>
      <c r="Y66" s="115" t="s">
        <v>2990</v>
      </c>
      <c r="Z66" s="115"/>
      <c r="AA66" s="115"/>
    </row>
    <row r="67" spans="1:27" s="838" customFormat="1">
      <c r="A67" s="115" t="s">
        <v>2841</v>
      </c>
      <c r="B67" s="115" t="s">
        <v>2967</v>
      </c>
      <c r="C67" s="116">
        <v>45045</v>
      </c>
      <c r="D67" s="116">
        <v>45066</v>
      </c>
      <c r="E67" s="935" t="s">
        <v>2842</v>
      </c>
      <c r="F67" s="115"/>
      <c r="G67" s="935" t="s">
        <v>2843</v>
      </c>
      <c r="H67" s="115" t="s">
        <v>2844</v>
      </c>
      <c r="I67" s="115" t="s">
        <v>54</v>
      </c>
      <c r="J67" s="115" t="s">
        <v>19</v>
      </c>
      <c r="K67" s="115" t="s">
        <v>2846</v>
      </c>
      <c r="L67" s="935" t="s">
        <v>2845</v>
      </c>
      <c r="M67" s="115"/>
      <c r="N67" s="128" t="s">
        <v>2847</v>
      </c>
      <c r="O67" s="118">
        <f>1290+1290+1390</f>
        <v>3970</v>
      </c>
      <c r="P67" s="115"/>
      <c r="Q67" s="115" t="s">
        <v>717</v>
      </c>
      <c r="R67" s="361">
        <v>3</v>
      </c>
      <c r="S67" s="361">
        <v>2</v>
      </c>
      <c r="T67" s="361">
        <v>2</v>
      </c>
      <c r="U67" s="1134">
        <v>993</v>
      </c>
      <c r="V67" s="120">
        <v>44688</v>
      </c>
      <c r="W67" s="115" t="s">
        <v>3227</v>
      </c>
      <c r="X67" s="115" t="s">
        <v>1154</v>
      </c>
      <c r="Y67" s="115" t="s">
        <v>3258</v>
      </c>
      <c r="Z67" s="115"/>
      <c r="AA67" s="115"/>
    </row>
    <row r="68" spans="1:27" s="408" customFormat="1">
      <c r="A68" s="699" t="s">
        <v>2537</v>
      </c>
      <c r="B68" s="699" t="s">
        <v>2538</v>
      </c>
      <c r="C68" s="700">
        <v>44139</v>
      </c>
      <c r="D68" s="700">
        <v>43932</v>
      </c>
      <c r="E68" s="699" t="s">
        <v>2539</v>
      </c>
      <c r="F68" s="702"/>
      <c r="G68" s="701">
        <v>93250</v>
      </c>
      <c r="H68" s="699" t="s">
        <v>2540</v>
      </c>
      <c r="I68" s="699" t="s">
        <v>23</v>
      </c>
      <c r="J68" s="699" t="s">
        <v>19</v>
      </c>
      <c r="K68" s="699"/>
      <c r="L68" s="703" t="s">
        <v>2541</v>
      </c>
      <c r="M68" s="699"/>
      <c r="N68" s="1112" t="s">
        <v>2542</v>
      </c>
      <c r="O68" s="704"/>
      <c r="P68" s="699"/>
      <c r="Q68" s="699" t="s">
        <v>2543</v>
      </c>
      <c r="R68" s="701"/>
      <c r="S68" s="701">
        <v>5</v>
      </c>
      <c r="T68" s="701">
        <v>1</v>
      </c>
      <c r="U68" s="1414">
        <v>223</v>
      </c>
      <c r="V68" s="706">
        <v>43900</v>
      </c>
      <c r="W68" s="699" t="s">
        <v>2544</v>
      </c>
      <c r="X68" s="699" t="s">
        <v>1154</v>
      </c>
      <c r="Y68" s="699" t="s">
        <v>2548</v>
      </c>
      <c r="Z68" s="699"/>
      <c r="AA68" s="699"/>
    </row>
    <row r="69" spans="1:27">
      <c r="A69" s="115" t="s">
        <v>2959</v>
      </c>
      <c r="B69" s="115" t="s">
        <v>2958</v>
      </c>
      <c r="C69" s="116">
        <v>44429</v>
      </c>
      <c r="D69" s="116">
        <v>44436</v>
      </c>
      <c r="E69" s="115" t="s">
        <v>1064</v>
      </c>
      <c r="F69" s="115"/>
      <c r="G69" s="361" t="s">
        <v>1065</v>
      </c>
      <c r="H69" s="115" t="s">
        <v>54</v>
      </c>
      <c r="I69" s="115" t="s">
        <v>54</v>
      </c>
      <c r="J69" s="115" t="s">
        <v>19</v>
      </c>
      <c r="K69" s="115"/>
      <c r="L69" s="115" t="s">
        <v>1066</v>
      </c>
      <c r="M69" s="115"/>
      <c r="N69" s="363" t="s">
        <v>1068</v>
      </c>
      <c r="O69" s="118">
        <v>1990</v>
      </c>
      <c r="P69" s="115"/>
      <c r="Q69" s="115" t="s">
        <v>1808</v>
      </c>
      <c r="R69" s="682">
        <v>1</v>
      </c>
      <c r="S69" s="361" t="s">
        <v>2960</v>
      </c>
      <c r="T69" s="361">
        <v>1</v>
      </c>
      <c r="U69" s="598"/>
      <c r="V69" s="120">
        <v>44370</v>
      </c>
      <c r="W69" s="115" t="s">
        <v>1519</v>
      </c>
      <c r="X69" s="115" t="s">
        <v>1154</v>
      </c>
      <c r="Y69" s="115"/>
      <c r="Z69" s="115"/>
      <c r="AA69" s="115"/>
    </row>
    <row r="70" spans="1:27">
      <c r="A70" s="115" t="s">
        <v>2573</v>
      </c>
      <c r="B70" s="115" t="s">
        <v>95</v>
      </c>
      <c r="C70" s="116">
        <v>44044</v>
      </c>
      <c r="D70" s="116">
        <v>44051</v>
      </c>
      <c r="E70" s="115" t="s">
        <v>2574</v>
      </c>
      <c r="F70" s="115"/>
      <c r="G70" s="361">
        <v>77480</v>
      </c>
      <c r="H70" s="115" t="s">
        <v>2575</v>
      </c>
      <c r="I70" s="115" t="s">
        <v>23</v>
      </c>
      <c r="J70" s="115" t="s">
        <v>19</v>
      </c>
      <c r="K70" s="115"/>
      <c r="L70" s="124" t="s">
        <v>2576</v>
      </c>
      <c r="M70" s="115"/>
      <c r="N70" s="128" t="s">
        <v>2577</v>
      </c>
      <c r="O70" s="118">
        <v>1990</v>
      </c>
      <c r="P70" s="115"/>
      <c r="Q70" s="115" t="s">
        <v>2579</v>
      </c>
      <c r="R70" s="361">
        <v>1</v>
      </c>
      <c r="S70" s="361">
        <v>6</v>
      </c>
      <c r="T70" s="361">
        <v>1</v>
      </c>
      <c r="U70" s="129">
        <v>500</v>
      </c>
      <c r="V70" s="120">
        <v>43977</v>
      </c>
      <c r="W70" s="115"/>
      <c r="X70" s="115" t="s">
        <v>1154</v>
      </c>
      <c r="Y70" s="115"/>
      <c r="Z70" s="115"/>
      <c r="AA70" s="115"/>
    </row>
    <row r="71" spans="1:27">
      <c r="A71" s="355" t="s">
        <v>2867</v>
      </c>
      <c r="B71" s="355" t="s">
        <v>2866</v>
      </c>
      <c r="C71" s="357">
        <v>44247</v>
      </c>
      <c r="D71" s="357">
        <v>44254</v>
      </c>
      <c r="E71" s="934" t="s">
        <v>2868</v>
      </c>
      <c r="F71" s="355"/>
      <c r="G71" s="1109">
        <v>92350</v>
      </c>
      <c r="H71" s="355" t="s">
        <v>2869</v>
      </c>
      <c r="I71" s="355" t="s">
        <v>23</v>
      </c>
      <c r="J71" s="355" t="s">
        <v>19</v>
      </c>
      <c r="K71" s="355"/>
      <c r="L71" s="934" t="s">
        <v>2870</v>
      </c>
      <c r="M71" s="355"/>
      <c r="N71" s="365" t="s">
        <v>2871</v>
      </c>
      <c r="O71" s="359">
        <f>790+70</f>
        <v>860</v>
      </c>
      <c r="P71" s="355"/>
      <c r="Q71" s="355" t="s">
        <v>1401</v>
      </c>
      <c r="R71" s="358">
        <v>1</v>
      </c>
      <c r="S71" s="358">
        <v>4</v>
      </c>
      <c r="T71" s="358">
        <v>0</v>
      </c>
      <c r="U71" s="417"/>
      <c r="V71" s="360">
        <v>44245</v>
      </c>
      <c r="W71" s="355" t="s">
        <v>1592</v>
      </c>
      <c r="X71" s="355" t="s">
        <v>1154</v>
      </c>
      <c r="Y71" s="355"/>
      <c r="Z71" s="355"/>
      <c r="AA71" s="355"/>
    </row>
    <row r="72" spans="1:27" s="923" customFormat="1">
      <c r="A72" s="115" t="s">
        <v>2457</v>
      </c>
      <c r="B72" s="115" t="s">
        <v>2456</v>
      </c>
      <c r="C72" s="116">
        <v>44079</v>
      </c>
      <c r="D72" s="116">
        <v>44093</v>
      </c>
      <c r="E72" s="115" t="s">
        <v>2458</v>
      </c>
      <c r="F72" s="115"/>
      <c r="G72" s="361" t="s">
        <v>2459</v>
      </c>
      <c r="H72" s="115" t="s">
        <v>2460</v>
      </c>
      <c r="I72" s="115" t="s">
        <v>18</v>
      </c>
      <c r="J72" s="115" t="s">
        <v>19</v>
      </c>
      <c r="K72" s="115" t="s">
        <v>2462</v>
      </c>
      <c r="L72" s="124" t="s">
        <v>2461</v>
      </c>
      <c r="M72" s="115"/>
      <c r="N72" s="128" t="s">
        <v>2463</v>
      </c>
      <c r="O72" s="118">
        <f>1590*2</f>
        <v>3180</v>
      </c>
      <c r="P72" s="115"/>
      <c r="Q72" s="115" t="s">
        <v>2464</v>
      </c>
      <c r="R72" s="361">
        <v>2</v>
      </c>
      <c r="S72" s="361">
        <v>2</v>
      </c>
      <c r="T72" s="361">
        <v>1</v>
      </c>
      <c r="U72" s="129">
        <v>795</v>
      </c>
      <c r="V72" s="120">
        <v>43844</v>
      </c>
      <c r="W72" s="115" t="s">
        <v>1477</v>
      </c>
      <c r="X72" s="115" t="s">
        <v>1154</v>
      </c>
      <c r="Y72" s="115"/>
      <c r="Z72" s="115"/>
      <c r="AA72" s="115"/>
    </row>
    <row r="73" spans="1:27" s="900" customFormat="1">
      <c r="A73" s="115" t="s">
        <v>2457</v>
      </c>
      <c r="B73" s="115" t="s">
        <v>2456</v>
      </c>
      <c r="C73" s="116">
        <v>44457</v>
      </c>
      <c r="D73" s="116">
        <v>44471</v>
      </c>
      <c r="E73" s="115" t="s">
        <v>2458</v>
      </c>
      <c r="F73" s="115"/>
      <c r="G73" s="361" t="s">
        <v>2459</v>
      </c>
      <c r="H73" s="115" t="s">
        <v>2460</v>
      </c>
      <c r="I73" s="115" t="s">
        <v>18</v>
      </c>
      <c r="J73" s="115" t="s">
        <v>19</v>
      </c>
      <c r="K73" s="115" t="s">
        <v>2462</v>
      </c>
      <c r="L73" s="124" t="s">
        <v>2461</v>
      </c>
      <c r="M73" s="115"/>
      <c r="N73" s="128" t="s">
        <v>2463</v>
      </c>
      <c r="O73" s="118">
        <f>1290*2</f>
        <v>2580</v>
      </c>
      <c r="P73" s="115"/>
      <c r="Q73" s="115" t="s">
        <v>2464</v>
      </c>
      <c r="R73" s="361">
        <v>2</v>
      </c>
      <c r="S73" s="361">
        <v>2</v>
      </c>
      <c r="T73" s="361">
        <v>1</v>
      </c>
      <c r="U73" s="129">
        <f>O73/4</f>
        <v>645</v>
      </c>
      <c r="V73" s="120">
        <v>43844</v>
      </c>
      <c r="W73" s="115" t="s">
        <v>1477</v>
      </c>
      <c r="X73" s="115" t="s">
        <v>1154</v>
      </c>
      <c r="Y73" s="115" t="s">
        <v>2734</v>
      </c>
      <c r="Z73" s="115"/>
      <c r="AA73" s="115"/>
    </row>
    <row r="74" spans="1:27" s="115" customFormat="1">
      <c r="A74" s="1148" t="s">
        <v>3166</v>
      </c>
      <c r="B74" s="1148" t="s">
        <v>3167</v>
      </c>
      <c r="C74" s="1149">
        <v>44793</v>
      </c>
      <c r="D74" s="1149">
        <v>44807</v>
      </c>
      <c r="E74" s="1148" t="s">
        <v>3168</v>
      </c>
      <c r="F74" s="1148"/>
      <c r="G74" s="1150" t="s">
        <v>3169</v>
      </c>
      <c r="H74" s="1148" t="s">
        <v>54</v>
      </c>
      <c r="I74" s="1148" t="s">
        <v>54</v>
      </c>
      <c r="J74" s="1148" t="s">
        <v>19</v>
      </c>
      <c r="K74" s="1148" t="s">
        <v>3170</v>
      </c>
      <c r="L74" s="1148" t="s">
        <v>3170</v>
      </c>
      <c r="M74" s="1148"/>
      <c r="N74" s="1151" t="s">
        <v>3171</v>
      </c>
      <c r="O74" s="1185">
        <f>1990*2+70</f>
        <v>4050</v>
      </c>
      <c r="P74" s="1148"/>
      <c r="Q74" s="1148" t="s">
        <v>3172</v>
      </c>
      <c r="R74" s="1153">
        <v>2</v>
      </c>
      <c r="S74" s="1150"/>
      <c r="T74" s="1150">
        <v>2</v>
      </c>
      <c r="U74" s="1413">
        <v>995</v>
      </c>
      <c r="V74" s="1155">
        <v>44571</v>
      </c>
      <c r="W74" s="1148" t="s">
        <v>3173</v>
      </c>
      <c r="X74" s="1148" t="s">
        <v>1154</v>
      </c>
      <c r="Y74" s="1148"/>
      <c r="Z74" s="1148"/>
      <c r="AA74" s="1148"/>
    </row>
    <row r="75" spans="1:27" s="355" customFormat="1">
      <c r="A75" s="973" t="s">
        <v>2927</v>
      </c>
      <c r="B75" s="973" t="s">
        <v>2928</v>
      </c>
      <c r="C75" s="974">
        <v>44401</v>
      </c>
      <c r="D75" s="974">
        <v>44408</v>
      </c>
      <c r="E75" s="979"/>
      <c r="F75" s="973"/>
      <c r="G75" s="979"/>
      <c r="H75" s="973"/>
      <c r="I75" s="973" t="s">
        <v>23</v>
      </c>
      <c r="J75" s="973" t="s">
        <v>19</v>
      </c>
      <c r="K75" s="973"/>
      <c r="L75" s="979" t="s">
        <v>2929</v>
      </c>
      <c r="M75" s="973"/>
      <c r="N75" s="1115" t="s">
        <v>2930</v>
      </c>
      <c r="O75" s="975">
        <v>2024.3</v>
      </c>
      <c r="P75" s="973"/>
      <c r="Q75" s="973" t="s">
        <v>1343</v>
      </c>
      <c r="R75" s="976">
        <v>1</v>
      </c>
      <c r="S75" s="976">
        <v>6</v>
      </c>
      <c r="T75" s="976">
        <v>0</v>
      </c>
      <c r="U75" s="977"/>
      <c r="V75" s="978">
        <v>44301</v>
      </c>
      <c r="W75" s="973" t="s">
        <v>2891</v>
      </c>
      <c r="X75" s="973" t="s">
        <v>1154</v>
      </c>
      <c r="Y75" s="973"/>
      <c r="Z75" s="973"/>
      <c r="AA75" s="973"/>
    </row>
    <row r="76" spans="1:27" s="973" customFormat="1">
      <c r="A76" s="355" t="s">
        <v>2863</v>
      </c>
      <c r="B76" s="355" t="s">
        <v>2264</v>
      </c>
      <c r="C76" s="357">
        <v>44604</v>
      </c>
      <c r="D76" s="357">
        <v>44611</v>
      </c>
      <c r="E76" s="355" t="s">
        <v>3145</v>
      </c>
      <c r="F76" s="355"/>
      <c r="G76" s="358" t="s">
        <v>3146</v>
      </c>
      <c r="H76" s="355" t="s">
        <v>3147</v>
      </c>
      <c r="I76" s="355" t="s">
        <v>54</v>
      </c>
      <c r="J76" s="355" t="s">
        <v>19</v>
      </c>
      <c r="K76" s="368"/>
      <c r="L76" s="355" t="s">
        <v>2864</v>
      </c>
      <c r="M76" s="355"/>
      <c r="N76" s="365" t="s">
        <v>2865</v>
      </c>
      <c r="O76" s="1036">
        <f>890+3*3*7+70</f>
        <v>1023</v>
      </c>
      <c r="P76" s="355"/>
      <c r="Q76" s="355" t="s">
        <v>1910</v>
      </c>
      <c r="R76" s="891">
        <v>1</v>
      </c>
      <c r="S76" s="358">
        <v>3</v>
      </c>
      <c r="T76" s="358">
        <v>3</v>
      </c>
      <c r="U76" s="355"/>
      <c r="V76" s="355">
        <v>44590</v>
      </c>
      <c r="W76" s="355" t="s">
        <v>3137</v>
      </c>
      <c r="X76" s="355" t="s">
        <v>1154</v>
      </c>
      <c r="Y76" s="355" t="s">
        <v>2353</v>
      </c>
      <c r="Z76" s="355"/>
      <c r="AA76" s="355"/>
    </row>
    <row r="77" spans="1:27" s="115" customFormat="1">
      <c r="A77" s="355" t="s">
        <v>2878</v>
      </c>
      <c r="B77" s="355" t="s">
        <v>2879</v>
      </c>
      <c r="C77" s="357">
        <v>44254</v>
      </c>
      <c r="D77" s="357">
        <v>44261</v>
      </c>
      <c r="E77" s="934" t="s">
        <v>2880</v>
      </c>
      <c r="F77" s="355"/>
      <c r="G77" s="1109">
        <v>35200</v>
      </c>
      <c r="H77" s="355" t="s">
        <v>2881</v>
      </c>
      <c r="I77" s="355" t="s">
        <v>23</v>
      </c>
      <c r="J77" s="355" t="s">
        <v>19</v>
      </c>
      <c r="K77" s="355"/>
      <c r="L77" s="934" t="s">
        <v>2882</v>
      </c>
      <c r="M77" s="355"/>
      <c r="N77" s="365" t="s">
        <v>2883</v>
      </c>
      <c r="O77" s="359">
        <v>790</v>
      </c>
      <c r="P77" s="355"/>
      <c r="Q77" s="355" t="s">
        <v>1401</v>
      </c>
      <c r="R77" s="358">
        <v>1</v>
      </c>
      <c r="S77" s="358">
        <v>4</v>
      </c>
      <c r="T77" s="358">
        <v>0</v>
      </c>
      <c r="U77" s="417"/>
      <c r="V77" s="360">
        <v>44250</v>
      </c>
      <c r="W77" s="355" t="s">
        <v>2884</v>
      </c>
      <c r="X77" s="355" t="s">
        <v>1154</v>
      </c>
      <c r="Y77" s="355"/>
      <c r="Z77" s="355"/>
      <c r="AA77" s="355"/>
    </row>
    <row r="78" spans="1:27" s="973" customFormat="1">
      <c r="A78" s="498" t="s">
        <v>2518</v>
      </c>
      <c r="B78" s="498" t="s">
        <v>2517</v>
      </c>
      <c r="C78" s="499">
        <v>43988</v>
      </c>
      <c r="D78" s="499">
        <v>43995</v>
      </c>
      <c r="E78" s="498" t="s">
        <v>2519</v>
      </c>
      <c r="F78" s="980"/>
      <c r="G78" s="500" t="s">
        <v>2520</v>
      </c>
      <c r="H78" s="938" t="s">
        <v>2521</v>
      </c>
      <c r="I78" s="498" t="s">
        <v>36</v>
      </c>
      <c r="J78" s="498" t="s">
        <v>19</v>
      </c>
      <c r="K78" s="498" t="s">
        <v>2523</v>
      </c>
      <c r="L78" s="688" t="s">
        <v>2522</v>
      </c>
      <c r="M78" s="498"/>
      <c r="N78" s="868" t="s">
        <v>2524</v>
      </c>
      <c r="O78" s="502"/>
      <c r="P78" s="498"/>
      <c r="Q78" s="498" t="s">
        <v>2588</v>
      </c>
      <c r="R78" s="500"/>
      <c r="S78" s="500">
        <v>2</v>
      </c>
      <c r="T78" s="500">
        <v>1</v>
      </c>
      <c r="U78" s="670">
        <v>400</v>
      </c>
      <c r="V78" s="504">
        <v>43864</v>
      </c>
      <c r="W78" s="498" t="s">
        <v>1477</v>
      </c>
      <c r="X78" s="498" t="s">
        <v>1154</v>
      </c>
      <c r="Y78" s="498" t="s">
        <v>2552</v>
      </c>
      <c r="Z78" s="498"/>
      <c r="AA78" s="498"/>
    </row>
    <row r="79" spans="1:27" s="115" customFormat="1" ht="12" customHeight="1">
      <c r="A79" s="498" t="s">
        <v>2518</v>
      </c>
      <c r="B79" s="498" t="s">
        <v>2517</v>
      </c>
      <c r="C79" s="499">
        <v>44441</v>
      </c>
      <c r="D79" s="499">
        <v>44478</v>
      </c>
      <c r="E79" s="498" t="s">
        <v>2519</v>
      </c>
      <c r="F79" s="980"/>
      <c r="G79" s="500" t="s">
        <v>2520</v>
      </c>
      <c r="H79" s="938" t="s">
        <v>2521</v>
      </c>
      <c r="I79" s="498" t="s">
        <v>36</v>
      </c>
      <c r="J79" s="498" t="s">
        <v>19</v>
      </c>
      <c r="K79" s="498" t="s">
        <v>2523</v>
      </c>
      <c r="L79" s="688" t="s">
        <v>2522</v>
      </c>
      <c r="M79" s="498"/>
      <c r="N79" s="868" t="s">
        <v>2524</v>
      </c>
      <c r="O79" s="502">
        <f>1190-400+70</f>
        <v>860</v>
      </c>
      <c r="P79" s="498"/>
      <c r="Q79" s="498" t="s">
        <v>2588</v>
      </c>
      <c r="R79" s="500"/>
      <c r="S79" s="500">
        <v>2</v>
      </c>
      <c r="T79" s="500">
        <v>1</v>
      </c>
      <c r="U79" s="503">
        <v>400</v>
      </c>
      <c r="V79" s="504">
        <v>43864</v>
      </c>
      <c r="W79" s="498" t="s">
        <v>1477</v>
      </c>
      <c r="X79" s="498" t="s">
        <v>1154</v>
      </c>
      <c r="Y79" s="498" t="s">
        <v>2552</v>
      </c>
      <c r="Z79" s="498"/>
      <c r="AA79" s="498"/>
    </row>
    <row r="80" spans="1:27" s="115" customFormat="1">
      <c r="A80" s="115" t="s">
        <v>2386</v>
      </c>
      <c r="B80" s="115" t="s">
        <v>2387</v>
      </c>
      <c r="C80" s="116">
        <v>43974</v>
      </c>
      <c r="D80" s="116">
        <v>43981</v>
      </c>
      <c r="E80" s="115" t="s">
        <v>2388</v>
      </c>
      <c r="F80" s="364"/>
      <c r="G80" s="361" t="s">
        <v>2389</v>
      </c>
      <c r="H80" s="935" t="s">
        <v>2390</v>
      </c>
      <c r="I80" s="115" t="s">
        <v>168</v>
      </c>
      <c r="J80" s="115" t="s">
        <v>19</v>
      </c>
      <c r="L80" s="124" t="s">
        <v>2391</v>
      </c>
      <c r="N80" s="128" t="s">
        <v>2392</v>
      </c>
      <c r="O80" s="118"/>
      <c r="Q80" s="115" t="s">
        <v>2587</v>
      </c>
      <c r="R80" s="361"/>
      <c r="S80" s="361">
        <v>3</v>
      </c>
      <c r="T80" s="361">
        <v>2</v>
      </c>
      <c r="U80" s="598">
        <v>297.5</v>
      </c>
      <c r="V80" s="120">
        <v>44137</v>
      </c>
      <c r="W80" s="115" t="s">
        <v>1477</v>
      </c>
      <c r="X80" s="115" t="s">
        <v>1154</v>
      </c>
      <c r="Y80" s="115" t="s">
        <v>2549</v>
      </c>
    </row>
    <row r="81" spans="1:27" s="115" customFormat="1">
      <c r="A81" s="115" t="s">
        <v>2802</v>
      </c>
      <c r="B81" s="115" t="s">
        <v>2803</v>
      </c>
      <c r="C81" s="116">
        <v>44194</v>
      </c>
      <c r="D81" s="116">
        <v>44197</v>
      </c>
      <c r="E81" s="115" t="s">
        <v>2804</v>
      </c>
      <c r="G81" s="361">
        <v>29150</v>
      </c>
      <c r="H81" s="115" t="s">
        <v>2805</v>
      </c>
      <c r="I81" s="115" t="s">
        <v>23</v>
      </c>
      <c r="J81" s="115" t="s">
        <v>19</v>
      </c>
      <c r="L81" s="115" t="s">
        <v>2806</v>
      </c>
      <c r="N81" s="128" t="s">
        <v>2807</v>
      </c>
      <c r="O81" s="118">
        <v>800</v>
      </c>
      <c r="Q81" s="115" t="s">
        <v>2808</v>
      </c>
      <c r="R81" s="361">
        <v>1</v>
      </c>
      <c r="S81" s="361">
        <v>5</v>
      </c>
      <c r="T81" s="361">
        <v>0</v>
      </c>
      <c r="U81" s="598">
        <v>0</v>
      </c>
      <c r="V81" s="115">
        <v>44181</v>
      </c>
      <c r="W81" s="115" t="s">
        <v>1543</v>
      </c>
      <c r="X81" s="115" t="s">
        <v>1154</v>
      </c>
    </row>
    <row r="82" spans="1:27" s="498" customFormat="1">
      <c r="A82" s="408" t="s">
        <v>2887</v>
      </c>
      <c r="B82" s="408" t="s">
        <v>2888</v>
      </c>
      <c r="C82" s="409">
        <v>44298</v>
      </c>
      <c r="D82" s="409">
        <v>44310</v>
      </c>
      <c r="E82" s="408"/>
      <c r="F82" s="408"/>
      <c r="G82" s="410"/>
      <c r="H82" s="408"/>
      <c r="I82" s="408" t="s">
        <v>23</v>
      </c>
      <c r="J82" s="408" t="s">
        <v>19</v>
      </c>
      <c r="K82" s="408"/>
      <c r="L82" s="412" t="s">
        <v>2889</v>
      </c>
      <c r="M82" s="408"/>
      <c r="N82" s="1212" t="s">
        <v>1562</v>
      </c>
      <c r="O82" s="414">
        <v>1735.24</v>
      </c>
      <c r="P82" s="408"/>
      <c r="Q82" s="408" t="s">
        <v>2890</v>
      </c>
      <c r="R82" s="410">
        <v>2</v>
      </c>
      <c r="S82" s="410">
        <v>5</v>
      </c>
      <c r="T82" s="410">
        <v>1</v>
      </c>
      <c r="U82" s="415"/>
      <c r="V82" s="416"/>
      <c r="W82" s="408" t="s">
        <v>2891</v>
      </c>
      <c r="X82" s="408" t="s">
        <v>1154</v>
      </c>
      <c r="Y82" s="408"/>
      <c r="Z82" s="408"/>
      <c r="AA82" s="408"/>
    </row>
    <row r="83" spans="1:27" s="1003" customFormat="1">
      <c r="A83" s="1148" t="s">
        <v>1556</v>
      </c>
      <c r="B83" s="1148" t="s">
        <v>1557</v>
      </c>
      <c r="C83" s="1149">
        <v>44814</v>
      </c>
      <c r="D83" s="1149">
        <v>44821</v>
      </c>
      <c r="E83" s="1148" t="s">
        <v>1558</v>
      </c>
      <c r="F83" s="1148"/>
      <c r="G83" s="1150" t="s">
        <v>1559</v>
      </c>
      <c r="H83" s="1148" t="s">
        <v>1560</v>
      </c>
      <c r="I83" s="1148" t="s">
        <v>1561</v>
      </c>
      <c r="J83" s="1148" t="s">
        <v>180</v>
      </c>
      <c r="K83" s="1148"/>
      <c r="L83" s="1148" t="s">
        <v>1430</v>
      </c>
      <c r="M83" s="1148" t="s">
        <v>3053</v>
      </c>
      <c r="O83" s="1152">
        <f>1590+70</f>
        <v>1660</v>
      </c>
      <c r="P83" s="1148"/>
      <c r="Q83" s="1148" t="s">
        <v>2674</v>
      </c>
      <c r="R83" s="1153">
        <v>1</v>
      </c>
      <c r="S83" s="1150">
        <v>2</v>
      </c>
      <c r="T83" s="1150">
        <v>1</v>
      </c>
      <c r="U83" s="1413">
        <v>400</v>
      </c>
      <c r="V83" s="1155">
        <v>44487</v>
      </c>
      <c r="W83" s="1148" t="s">
        <v>3054</v>
      </c>
      <c r="X83" s="1148" t="s">
        <v>1154</v>
      </c>
      <c r="Y83" s="1148" t="s">
        <v>3055</v>
      </c>
      <c r="Z83" s="1148"/>
      <c r="AA83" s="1148"/>
    </row>
    <row r="84" spans="1:27" s="115" customFormat="1">
      <c r="A84" s="115" t="s">
        <v>1556</v>
      </c>
      <c r="B84" s="115" t="s">
        <v>1557</v>
      </c>
      <c r="C84" s="116">
        <v>45185</v>
      </c>
      <c r="D84" s="116">
        <v>45192</v>
      </c>
      <c r="E84" s="115" t="s">
        <v>1558</v>
      </c>
      <c r="G84" s="361" t="s">
        <v>1559</v>
      </c>
      <c r="H84" s="115" t="s">
        <v>1560</v>
      </c>
      <c r="I84" s="115" t="s">
        <v>1561</v>
      </c>
      <c r="J84" s="115" t="s">
        <v>180</v>
      </c>
      <c r="L84" s="115" t="s">
        <v>1430</v>
      </c>
      <c r="M84" s="115" t="s">
        <v>3053</v>
      </c>
      <c r="N84" s="363" t="s">
        <v>1562</v>
      </c>
      <c r="O84" s="118">
        <f>1590</f>
        <v>1590</v>
      </c>
      <c r="Q84" s="115" t="s">
        <v>2674</v>
      </c>
      <c r="R84" s="361">
        <v>1</v>
      </c>
      <c r="S84" s="361">
        <v>2</v>
      </c>
      <c r="T84" s="361">
        <v>1</v>
      </c>
      <c r="U84" s="598">
        <v>400</v>
      </c>
      <c r="V84" s="120">
        <v>44846</v>
      </c>
      <c r="W84" s="115" t="s">
        <v>3054</v>
      </c>
      <c r="X84" s="115" t="s">
        <v>1154</v>
      </c>
      <c r="Y84" s="115" t="s">
        <v>3055</v>
      </c>
    </row>
    <row r="85" spans="1:27" s="115" customFormat="1">
      <c r="A85" s="9" t="s">
        <v>2184</v>
      </c>
      <c r="B85" s="856"/>
      <c r="C85" s="856"/>
      <c r="D85" s="856"/>
      <c r="E85" s="856"/>
      <c r="F85" s="856"/>
      <c r="G85" s="857"/>
      <c r="H85" s="856"/>
      <c r="I85" s="856"/>
      <c r="J85" s="856"/>
      <c r="K85" s="856"/>
      <c r="L85" s="856"/>
      <c r="M85" s="856"/>
      <c r="N85" s="856"/>
      <c r="O85" s="856"/>
      <c r="P85" s="856"/>
      <c r="Q85" s="856"/>
      <c r="R85" s="857"/>
      <c r="S85" s="857"/>
      <c r="T85" s="857"/>
      <c r="U85" s="858"/>
      <c r="V85" s="856"/>
      <c r="W85" s="856"/>
      <c r="X85" s="856"/>
      <c r="Y85" s="8"/>
      <c r="Z85" s="8"/>
      <c r="AA85" s="8"/>
    </row>
    <row r="86" spans="1:27" s="939" customFormat="1">
      <c r="A86" s="8"/>
      <c r="B86" s="7"/>
      <c r="C86" s="31"/>
      <c r="D86" s="31"/>
      <c r="E86" s="8"/>
      <c r="F86" s="8"/>
      <c r="G86" s="132"/>
      <c r="H86" s="8"/>
      <c r="I86" s="8"/>
      <c r="J86" s="8"/>
      <c r="K86" s="8"/>
      <c r="L86" s="8"/>
      <c r="M86" s="8"/>
      <c r="N86" s="49"/>
      <c r="O86" s="12"/>
      <c r="P86" s="8"/>
      <c r="Q86" s="8"/>
      <c r="R86" s="132"/>
      <c r="S86" s="132"/>
      <c r="T86" s="132"/>
      <c r="U86" s="603"/>
      <c r="V86" s="86"/>
      <c r="W86" s="8"/>
      <c r="X86" s="8"/>
      <c r="Y86" s="8"/>
      <c r="Z86" s="8"/>
      <c r="AA86" s="8"/>
    </row>
    <row r="87" spans="1:27" s="689" customFormat="1">
      <c r="A87" s="8"/>
      <c r="B87" s="8"/>
      <c r="C87" s="31"/>
      <c r="D87" s="31"/>
      <c r="E87" s="8"/>
      <c r="F87" s="8"/>
      <c r="G87" s="132"/>
      <c r="H87" s="8"/>
      <c r="I87" s="8"/>
      <c r="J87" s="8"/>
      <c r="K87" s="8"/>
      <c r="L87" s="8"/>
      <c r="M87" s="8"/>
      <c r="N87" s="49"/>
      <c r="O87" s="12"/>
      <c r="P87" s="8"/>
      <c r="Q87" s="457"/>
      <c r="R87" s="132"/>
      <c r="S87" s="132"/>
      <c r="T87" s="132"/>
      <c r="U87" s="603"/>
      <c r="V87" s="8"/>
      <c r="W87" s="8"/>
      <c r="X87" s="8"/>
      <c r="Y87" s="8"/>
      <c r="Z87" s="8"/>
      <c r="AA87" s="8"/>
    </row>
    <row r="88" spans="1:27" s="1003" customFormat="1">
      <c r="A88" s="439"/>
      <c r="B88" s="8"/>
      <c r="C88" s="8"/>
      <c r="D88" s="8"/>
      <c r="E88" s="8"/>
      <c r="F88" s="8"/>
      <c r="G88" s="132"/>
      <c r="H88" s="495"/>
      <c r="I88" s="8"/>
      <c r="J88" s="8"/>
      <c r="K88" s="8"/>
      <c r="L88" s="8"/>
      <c r="M88" s="8"/>
      <c r="N88" s="8"/>
      <c r="O88" s="8"/>
      <c r="P88" s="8"/>
      <c r="Q88" s="457"/>
      <c r="R88" s="132"/>
      <c r="S88" s="132"/>
      <c r="T88" s="132"/>
      <c r="U88" s="8"/>
      <c r="V88" s="862"/>
      <c r="W88" s="8"/>
      <c r="X88" s="8"/>
      <c r="Y88" s="8"/>
      <c r="Z88" s="8"/>
      <c r="AA88" s="8"/>
    </row>
    <row r="89" spans="1:27" ht="10.8" thickBot="1">
      <c r="A89" s="7" t="s">
        <v>2015</v>
      </c>
      <c r="B89" s="1268">
        <f>SUM(O76:O87)</f>
        <v>8458.24</v>
      </c>
      <c r="C89" s="826">
        <v>1</v>
      </c>
      <c r="D89" s="9" t="s">
        <v>574</v>
      </c>
      <c r="F89" s="7"/>
      <c r="G89" s="133"/>
      <c r="H89" s="49"/>
      <c r="I89" s="7"/>
      <c r="J89" s="7"/>
      <c r="K89" s="7"/>
      <c r="L89" s="864"/>
      <c r="M89" s="7"/>
      <c r="N89" s="7"/>
      <c r="O89" s="773"/>
      <c r="P89" s="7"/>
      <c r="Q89" s="457"/>
      <c r="R89" s="132"/>
      <c r="S89" s="133"/>
      <c r="T89" s="133"/>
      <c r="U89" s="74"/>
    </row>
    <row r="90" spans="1:27" ht="10.8" thickBot="1">
      <c r="A90" s="18" t="s">
        <v>463</v>
      </c>
      <c r="B90" s="1400">
        <f>SUM(R76:R88)</f>
        <v>7</v>
      </c>
      <c r="C90" s="1292">
        <f>B89/B90</f>
        <v>1208.32</v>
      </c>
      <c r="D90" s="1311" t="s">
        <v>575</v>
      </c>
      <c r="E90" s="782"/>
      <c r="F90" s="7"/>
      <c r="G90" s="133"/>
      <c r="I90" s="7"/>
      <c r="J90" s="7"/>
      <c r="K90" s="404"/>
      <c r="M90" s="7"/>
      <c r="O90" s="773"/>
      <c r="P90" s="7"/>
      <c r="Q90" s="457"/>
      <c r="R90" s="132"/>
      <c r="S90" s="133"/>
      <c r="T90" s="133"/>
      <c r="U90" s="74"/>
    </row>
    <row r="91" spans="1:27" ht="10.8" thickBot="1">
      <c r="A91" s="768"/>
      <c r="B91" s="1335"/>
      <c r="C91" s="1295"/>
      <c r="D91" s="17" t="s">
        <v>576</v>
      </c>
      <c r="E91" s="13"/>
      <c r="F91" s="7"/>
      <c r="G91" s="133"/>
      <c r="H91" s="495"/>
      <c r="I91" s="7"/>
      <c r="J91" s="7"/>
      <c r="K91" s="404"/>
      <c r="L91" s="495"/>
      <c r="M91" s="7"/>
      <c r="O91" s="773"/>
      <c r="P91" s="7"/>
      <c r="Q91" s="457"/>
      <c r="R91" s="132"/>
      <c r="S91" s="133"/>
      <c r="T91" s="133"/>
      <c r="U91" s="7"/>
    </row>
    <row r="92" spans="1:27" ht="10.8" thickBot="1">
      <c r="A92" s="7" t="s">
        <v>464</v>
      </c>
      <c r="B92" s="1277">
        <f>(1788.54+225.66)*12</f>
        <v>24170.400000000001</v>
      </c>
      <c r="C92" s="29"/>
      <c r="D92" s="17" t="s">
        <v>1304</v>
      </c>
      <c r="E92" s="13"/>
      <c r="F92" s="7"/>
      <c r="G92" s="133"/>
      <c r="H92" s="495"/>
      <c r="I92" s="7"/>
      <c r="J92" s="7"/>
      <c r="K92" s="404"/>
      <c r="L92" s="404"/>
      <c r="M92" s="7"/>
      <c r="O92" s="439"/>
      <c r="P92" s="7"/>
      <c r="Q92" s="457"/>
      <c r="R92" s="132"/>
      <c r="S92" s="133"/>
      <c r="T92" s="133"/>
      <c r="U92" s="7"/>
    </row>
    <row r="93" spans="1:27" ht="10.8" thickBot="1">
      <c r="A93" s="18" t="s">
        <v>574</v>
      </c>
      <c r="B93" s="1393">
        <f>E95</f>
        <v>0</v>
      </c>
      <c r="C93" s="29"/>
      <c r="D93" s="17" t="s">
        <v>577</v>
      </c>
      <c r="E93" s="13"/>
      <c r="F93" s="7"/>
      <c r="G93" s="133"/>
      <c r="H93" s="495"/>
      <c r="I93" s="7"/>
      <c r="J93" s="7"/>
      <c r="K93" s="49"/>
      <c r="L93" s="49"/>
      <c r="M93" s="7"/>
      <c r="N93" s="1111"/>
      <c r="O93" s="773"/>
      <c r="P93" s="7"/>
      <c r="R93" s="132"/>
      <c r="S93" s="133"/>
      <c r="T93" s="133"/>
      <c r="U93" s="7"/>
    </row>
    <row r="94" spans="1:27" ht="10.8" thickBot="1">
      <c r="A94" s="852" t="s">
        <v>1534</v>
      </c>
      <c r="B94" s="1395">
        <f>B89-B92-B93</f>
        <v>-15712.160000000002</v>
      </c>
      <c r="C94" s="29"/>
      <c r="D94" s="17" t="s">
        <v>578</v>
      </c>
      <c r="E94" s="13"/>
      <c r="F94" s="7"/>
      <c r="G94" s="133"/>
      <c r="H94" s="495"/>
      <c r="I94" s="7"/>
      <c r="J94" s="7"/>
      <c r="M94" s="7"/>
      <c r="N94" s="7"/>
      <c r="O94" s="773"/>
      <c r="P94" s="7"/>
      <c r="R94" s="132"/>
      <c r="S94" s="133"/>
      <c r="T94" s="133"/>
      <c r="U94" s="7"/>
    </row>
    <row r="95" spans="1:27" ht="10.8" thickBot="1">
      <c r="A95" s="10"/>
      <c r="B95" s="13"/>
      <c r="D95" s="519"/>
      <c r="E95" s="541"/>
    </row>
    <row r="99" spans="1:27">
      <c r="A99" s="7"/>
      <c r="B99" s="7"/>
      <c r="C99" s="29"/>
      <c r="D99" s="29"/>
      <c r="E99" s="7"/>
      <c r="F99" s="7"/>
      <c r="G99" s="133"/>
      <c r="I99" s="7"/>
      <c r="J99" s="7"/>
      <c r="K99" s="7"/>
      <c r="L99" s="7"/>
      <c r="M99" s="7"/>
      <c r="N99" s="7"/>
      <c r="O99" s="7"/>
      <c r="P99" s="7"/>
      <c r="R99" s="132"/>
      <c r="S99" s="133"/>
      <c r="T99" s="133"/>
      <c r="U99" s="7"/>
    </row>
    <row r="100" spans="1:27">
      <c r="A100" s="9" t="s">
        <v>2346</v>
      </c>
      <c r="B100" s="856"/>
      <c r="C100" s="856"/>
      <c r="D100" s="856"/>
      <c r="E100" s="856"/>
      <c r="F100" s="856"/>
      <c r="G100" s="857"/>
      <c r="H100" s="856"/>
      <c r="I100" s="856"/>
      <c r="J100" s="856"/>
      <c r="K100" s="856"/>
      <c r="L100" s="856"/>
      <c r="M100" s="856"/>
      <c r="N100" s="856"/>
      <c r="O100" s="856"/>
      <c r="P100" s="856"/>
      <c r="Q100" s="856"/>
      <c r="R100" s="857"/>
      <c r="S100" s="857"/>
      <c r="T100" s="857"/>
      <c r="U100" s="858"/>
      <c r="V100" s="856"/>
      <c r="W100" s="856"/>
      <c r="X100" s="856"/>
    </row>
    <row r="101" spans="1:27" s="355" customFormat="1" ht="12" customHeight="1">
      <c r="A101" s="8"/>
      <c r="B101" s="8"/>
      <c r="C101" s="31"/>
      <c r="D101" s="31"/>
      <c r="E101" s="8"/>
      <c r="F101" s="404"/>
      <c r="G101" s="132"/>
      <c r="H101" s="495"/>
      <c r="I101" s="8"/>
      <c r="J101" s="8"/>
      <c r="K101" s="8"/>
      <c r="L101" s="15"/>
      <c r="M101" s="8"/>
      <c r="N101" s="1103"/>
      <c r="O101" s="684"/>
      <c r="P101" s="8"/>
      <c r="Q101" s="8"/>
      <c r="R101" s="132"/>
      <c r="S101" s="132"/>
      <c r="T101" s="132"/>
      <c r="U101" s="1415"/>
      <c r="V101" s="86"/>
      <c r="W101" s="8"/>
      <c r="X101" s="8"/>
      <c r="Y101" s="8"/>
      <c r="Z101" s="8"/>
      <c r="AA101" s="8"/>
    </row>
    <row r="102" spans="1:27" s="973" customFormat="1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</row>
    <row r="103" spans="1:27" s="1148" customFormat="1" ht="12" customHeight="1">
      <c r="A103" s="8"/>
      <c r="B103" s="8"/>
      <c r="C103" s="31"/>
      <c r="D103" s="31"/>
      <c r="E103" s="8"/>
      <c r="F103" s="8"/>
      <c r="G103" s="132"/>
      <c r="H103" s="8"/>
      <c r="I103" s="8"/>
      <c r="J103" s="8"/>
      <c r="K103" s="8"/>
      <c r="L103" s="15"/>
      <c r="M103" s="8"/>
      <c r="N103" s="1103"/>
      <c r="O103" s="684"/>
      <c r="P103" s="8"/>
      <c r="Q103" s="8"/>
      <c r="R103" s="132"/>
      <c r="S103" s="132"/>
      <c r="T103" s="132"/>
      <c r="U103" s="686"/>
      <c r="V103" s="86"/>
      <c r="W103" s="8"/>
      <c r="X103" s="8"/>
      <c r="Y103" s="8"/>
      <c r="Z103" s="8"/>
      <c r="AA103" s="8"/>
    </row>
    <row r="104" spans="1:27" s="1148" customFormat="1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</row>
    <row r="105" spans="1:27" s="1148" customFormat="1" ht="12" customHeight="1">
      <c r="A105" s="8"/>
      <c r="B105" s="8"/>
      <c r="C105" s="8"/>
      <c r="D105" s="8"/>
      <c r="E105" s="8"/>
      <c r="F105" s="8"/>
      <c r="G105" s="132"/>
      <c r="H105" s="495"/>
      <c r="I105" s="8"/>
      <c r="J105" s="8"/>
      <c r="K105" s="8"/>
      <c r="L105" s="8"/>
      <c r="M105" s="8"/>
      <c r="N105" s="8"/>
      <c r="O105" s="457"/>
      <c r="P105" s="8"/>
      <c r="Q105" s="8"/>
      <c r="R105" s="132"/>
      <c r="S105" s="132"/>
      <c r="T105" s="132"/>
      <c r="U105" s="13"/>
      <c r="V105" s="862"/>
      <c r="W105" s="8"/>
      <c r="X105" s="8"/>
      <c r="Y105" s="8"/>
      <c r="Z105" s="8"/>
      <c r="AA105" s="8"/>
    </row>
    <row r="106" spans="1:27" s="1148" customFormat="1">
      <c r="A106" s="7" t="s">
        <v>2241</v>
      </c>
      <c r="B106" s="1268">
        <f>SUM(O84:O104)</f>
        <v>1590</v>
      </c>
      <c r="C106" s="933" t="e">
        <f>B106/B72</f>
        <v>#VALUE!</v>
      </c>
      <c r="D106" s="9" t="s">
        <v>574</v>
      </c>
      <c r="E106" s="8"/>
      <c r="F106" s="7"/>
      <c r="G106" s="133"/>
      <c r="H106" s="49"/>
      <c r="I106" s="7"/>
      <c r="J106" s="8"/>
      <c r="K106" s="7"/>
      <c r="L106" s="864"/>
      <c r="M106" s="7"/>
      <c r="N106" s="7"/>
      <c r="O106" s="773"/>
      <c r="P106" s="7"/>
      <c r="Q106" s="8"/>
      <c r="R106" s="132"/>
      <c r="S106" s="133"/>
      <c r="T106" s="133">
        <f>O92-U92</f>
        <v>0</v>
      </c>
      <c r="U106" s="74"/>
      <c r="V106" s="8"/>
      <c r="W106" s="8"/>
      <c r="X106" s="8"/>
      <c r="Y106" s="8"/>
      <c r="Z106" s="8"/>
      <c r="AA106" s="8"/>
    </row>
    <row r="107" spans="1:27" s="1148" customFormat="1" ht="12" customHeight="1">
      <c r="A107" s="7" t="s">
        <v>463</v>
      </c>
      <c r="B107" s="1270">
        <f>SUM(R84:R105)</f>
        <v>1</v>
      </c>
      <c r="C107" s="1292">
        <f>B106/B107</f>
        <v>1590</v>
      </c>
      <c r="D107" s="1266" t="s">
        <v>575</v>
      </c>
      <c r="E107" s="8"/>
      <c r="F107" s="7"/>
      <c r="G107" s="133"/>
      <c r="H107" s="8"/>
      <c r="I107" s="7"/>
      <c r="J107" s="8"/>
      <c r="K107" s="404"/>
      <c r="L107" s="8"/>
      <c r="M107" s="7"/>
      <c r="N107" s="8"/>
      <c r="O107" s="773"/>
      <c r="P107" s="7"/>
      <c r="Q107" s="8"/>
      <c r="R107" s="132"/>
      <c r="S107" s="133"/>
      <c r="T107" s="133"/>
      <c r="U107" s="1361"/>
      <c r="V107" s="8"/>
      <c r="W107" s="8"/>
      <c r="X107" s="8"/>
      <c r="Y107" s="8"/>
      <c r="Z107" s="8"/>
      <c r="AA107" s="8"/>
    </row>
    <row r="108" spans="1:27" s="1160" customFormat="1">
      <c r="A108" s="7"/>
      <c r="B108" s="7"/>
      <c r="C108" s="29"/>
      <c r="D108" s="1266" t="s">
        <v>576</v>
      </c>
      <c r="E108" s="8"/>
      <c r="F108" s="7"/>
      <c r="G108" s="133"/>
      <c r="H108" s="495"/>
      <c r="I108" s="7"/>
      <c r="J108" s="457"/>
      <c r="K108" s="404"/>
      <c r="L108" s="495"/>
      <c r="M108" s="7"/>
      <c r="N108" s="8"/>
      <c r="O108" s="773"/>
      <c r="P108" s="7"/>
      <c r="Q108" s="8"/>
      <c r="R108" s="132"/>
      <c r="S108" s="133"/>
      <c r="T108" s="133"/>
      <c r="U108" s="7"/>
      <c r="V108" s="8"/>
      <c r="W108" s="8"/>
      <c r="X108" s="8"/>
      <c r="Y108" s="8"/>
      <c r="Z108" s="8"/>
      <c r="AA108" s="8"/>
    </row>
    <row r="109" spans="1:27" s="1061" customFormat="1">
      <c r="A109" s="7" t="s">
        <v>464</v>
      </c>
      <c r="B109" s="1277">
        <f>(1788.54+225.66)*12</f>
        <v>24170.400000000001</v>
      </c>
      <c r="C109" s="29"/>
      <c r="D109" s="1266" t="s">
        <v>1304</v>
      </c>
      <c r="E109" s="8"/>
      <c r="F109" s="7"/>
      <c r="G109" s="133"/>
      <c r="H109" s="495"/>
      <c r="I109" s="7"/>
      <c r="J109" s="7"/>
      <c r="K109" s="404"/>
      <c r="L109" s="404"/>
      <c r="M109" s="7"/>
      <c r="N109" s="8"/>
      <c r="O109" s="439"/>
      <c r="P109" s="7"/>
      <c r="Q109" s="8"/>
      <c r="R109" s="132"/>
      <c r="S109" s="133"/>
      <c r="T109" s="133"/>
      <c r="U109" s="7"/>
      <c r="V109" s="8"/>
      <c r="W109" s="8"/>
      <c r="X109" s="8"/>
      <c r="Y109" s="8"/>
      <c r="Z109" s="8"/>
      <c r="AA109" s="8"/>
    </row>
    <row r="110" spans="1:27" s="1160" customFormat="1">
      <c r="A110" s="7" t="s">
        <v>574</v>
      </c>
      <c r="B110" s="1280">
        <f>E112</f>
        <v>0</v>
      </c>
      <c r="C110" s="29"/>
      <c r="D110" s="1266" t="s">
        <v>577</v>
      </c>
      <c r="E110" s="8"/>
      <c r="F110" s="7"/>
      <c r="G110" s="133"/>
      <c r="H110" s="495"/>
      <c r="I110" s="7"/>
      <c r="J110" s="7"/>
      <c r="K110" s="49"/>
      <c r="L110" s="49"/>
      <c r="M110" s="7"/>
      <c r="N110" s="1111"/>
      <c r="O110" s="773"/>
      <c r="P110" s="7"/>
      <c r="Q110" s="8"/>
      <c r="R110" s="132"/>
      <c r="S110" s="133"/>
      <c r="T110" s="133"/>
      <c r="U110" s="7"/>
      <c r="V110" s="8"/>
      <c r="W110" s="8"/>
      <c r="X110" s="8"/>
      <c r="Y110" s="8"/>
      <c r="Z110" s="8"/>
      <c r="AA110" s="8"/>
    </row>
    <row r="111" spans="1:27" s="1069" customFormat="1">
      <c r="A111" s="7" t="s">
        <v>1534</v>
      </c>
      <c r="B111" s="773">
        <f>B106-B109-B110</f>
        <v>-22580.400000000001</v>
      </c>
      <c r="C111" s="29"/>
      <c r="D111" s="1266" t="s">
        <v>578</v>
      </c>
      <c r="E111" s="8"/>
      <c r="F111" s="7"/>
      <c r="G111" s="133"/>
      <c r="H111" s="495"/>
      <c r="I111" s="7"/>
      <c r="J111" s="7"/>
      <c r="K111" s="8"/>
      <c r="L111" s="8"/>
      <c r="M111" s="7"/>
      <c r="N111" s="7"/>
      <c r="O111" s="773"/>
      <c r="P111" s="7"/>
      <c r="Q111" s="8"/>
      <c r="R111" s="132"/>
      <c r="S111" s="133"/>
      <c r="T111" s="133"/>
      <c r="U111" s="7"/>
      <c r="V111" s="8"/>
      <c r="W111" s="8"/>
      <c r="X111" s="8"/>
      <c r="Y111" s="8"/>
      <c r="Z111" s="8"/>
      <c r="AA111" s="8"/>
    </row>
    <row r="112" spans="1:27" s="1177" customFormat="1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</row>
    <row r="113" spans="1:27" s="1148" customFormat="1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457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</row>
    <row r="114" spans="1:27" s="1148" customFormat="1" ht="12" customHeight="1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13"/>
      <c r="V114" s="8"/>
      <c r="W114" s="8"/>
      <c r="X114" s="8"/>
      <c r="Y114" s="8"/>
      <c r="Z114" s="8"/>
      <c r="AA114" s="8"/>
    </row>
    <row r="115" spans="1:27" s="1148" customFormat="1" ht="12" customHeight="1">
      <c r="A115" s="8"/>
      <c r="B115" s="8"/>
      <c r="C115" s="1111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13"/>
      <c r="V115" s="8"/>
      <c r="W115" s="8"/>
      <c r="X115" s="8"/>
      <c r="Y115" s="8"/>
      <c r="Z115" s="8"/>
      <c r="AA115" s="8"/>
    </row>
    <row r="116" spans="1:27" s="1148" customFormat="1" ht="12" customHeight="1">
      <c r="A116" s="8"/>
      <c r="B116" s="8"/>
      <c r="C116" s="1114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13"/>
      <c r="V116" s="8"/>
      <c r="W116" s="8"/>
      <c r="X116" s="8"/>
      <c r="Y116" s="8"/>
      <c r="Z116" s="8"/>
      <c r="AA116" s="8"/>
    </row>
    <row r="117" spans="1:27" s="1148" customFormat="1">
      <c r="A117" s="8"/>
      <c r="B117" s="8"/>
      <c r="C117" s="1111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</row>
    <row r="118" spans="1:27" s="355" customFormat="1">
      <c r="A118" s="9" t="s">
        <v>2675</v>
      </c>
      <c r="B118" s="856"/>
      <c r="C118" s="1114"/>
      <c r="D118" s="8"/>
      <c r="E118" s="1114"/>
      <c r="F118" s="8"/>
      <c r="G118" s="857"/>
      <c r="H118" s="856"/>
      <c r="I118" s="856"/>
      <c r="J118" s="856"/>
      <c r="K118" s="856"/>
      <c r="L118" s="856"/>
      <c r="M118" s="856"/>
      <c r="N118" s="856"/>
      <c r="O118" s="856"/>
      <c r="P118" s="856"/>
      <c r="Q118" s="856"/>
      <c r="R118" s="857"/>
      <c r="S118" s="857"/>
      <c r="T118" s="857"/>
      <c r="U118" s="858"/>
      <c r="V118" s="856"/>
      <c r="W118" s="856"/>
      <c r="X118" s="856"/>
      <c r="Y118" s="8"/>
      <c r="Z118" s="8"/>
      <c r="AA118" s="8"/>
    </row>
    <row r="119" spans="1:27" s="1203" customFormat="1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</row>
    <row r="120" spans="1:27" s="440" customFormat="1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</row>
    <row r="121" spans="1:27" s="115" customFormat="1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</row>
    <row r="122" spans="1:27" s="1136" customFormat="1">
      <c r="A122" s="8"/>
      <c r="B122" s="8"/>
      <c r="C122" s="8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</row>
    <row r="123" spans="1:27" s="115" customFormat="1">
      <c r="A123" s="8"/>
      <c r="B123" s="8"/>
      <c r="C123" s="8"/>
      <c r="D123" s="8"/>
      <c r="E123" s="8"/>
      <c r="F123" s="8"/>
      <c r="G123" s="132"/>
      <c r="H123" s="495"/>
      <c r="I123" s="8"/>
      <c r="J123" s="8"/>
      <c r="K123" s="8"/>
      <c r="L123" s="8"/>
      <c r="M123" s="8"/>
      <c r="N123" s="8"/>
      <c r="O123" s="457"/>
      <c r="P123" s="8"/>
      <c r="Q123" s="8"/>
      <c r="R123" s="132"/>
      <c r="S123" s="132"/>
      <c r="T123" s="132"/>
      <c r="U123" s="8"/>
      <c r="V123" s="862"/>
      <c r="W123" s="8"/>
      <c r="X123" s="8"/>
      <c r="Y123" s="8"/>
      <c r="Z123" s="8"/>
      <c r="AA123" s="8"/>
    </row>
    <row r="124" spans="1:27" ht="10.8" thickBot="1">
      <c r="A124" s="7" t="s">
        <v>2693</v>
      </c>
      <c r="B124" s="1268">
        <f>SUM(O96:O123)</f>
        <v>0</v>
      </c>
      <c r="C124" s="933" t="e">
        <f>B124/B84</f>
        <v>#VALUE!</v>
      </c>
      <c r="D124" s="9" t="s">
        <v>574</v>
      </c>
      <c r="F124" s="7"/>
      <c r="G124" s="133">
        <f>450/1.2</f>
        <v>375</v>
      </c>
      <c r="H124" s="49"/>
      <c r="I124" s="7"/>
      <c r="K124" s="7"/>
      <c r="L124" s="864"/>
      <c r="M124" s="7"/>
      <c r="N124" s="7"/>
      <c r="O124" s="773"/>
      <c r="P124" s="7"/>
      <c r="R124" s="132"/>
      <c r="S124" s="133"/>
      <c r="T124" s="133" t="e">
        <f>#REF!-#REF!</f>
        <v>#REF!</v>
      </c>
      <c r="U124" s="74"/>
    </row>
    <row r="125" spans="1:27" ht="10.8" thickBot="1">
      <c r="A125" s="18" t="s">
        <v>463</v>
      </c>
      <c r="B125" s="922">
        <f>SUM(R96:R128)</f>
        <v>0</v>
      </c>
      <c r="C125" s="1292" t="e">
        <f>B124/B125</f>
        <v>#DIV/0!</v>
      </c>
      <c r="D125" s="1311" t="s">
        <v>575</v>
      </c>
      <c r="E125" s="782"/>
      <c r="F125" s="7"/>
      <c r="G125" s="133"/>
      <c r="I125" s="7"/>
      <c r="K125" s="404"/>
      <c r="M125" s="7"/>
      <c r="O125" s="773"/>
      <c r="P125" s="7"/>
      <c r="Q125" s="439"/>
      <c r="R125" s="132"/>
      <c r="S125" s="133"/>
      <c r="T125" s="133"/>
      <c r="U125" s="74"/>
    </row>
    <row r="126" spans="1:27" ht="10.8" thickBot="1">
      <c r="A126" s="768"/>
      <c r="B126" s="1335"/>
      <c r="C126" s="1295"/>
      <c r="D126" s="17" t="s">
        <v>576</v>
      </c>
      <c r="E126" s="13"/>
      <c r="F126" s="7"/>
      <c r="G126" s="133"/>
      <c r="H126" s="495">
        <f>450/1.2</f>
        <v>375</v>
      </c>
      <c r="I126" s="7"/>
      <c r="K126" s="404"/>
      <c r="L126" s="495"/>
      <c r="M126" s="870">
        <f>165*7</f>
        <v>1155</v>
      </c>
      <c r="O126" s="773"/>
      <c r="P126" s="7"/>
      <c r="Q126" s="439"/>
      <c r="R126" s="132"/>
      <c r="S126" s="133"/>
      <c r="T126" s="133"/>
      <c r="U126" s="7"/>
    </row>
    <row r="127" spans="1:27" ht="10.8" thickBot="1">
      <c r="A127" s="7" t="s">
        <v>464</v>
      </c>
      <c r="B127" s="1277">
        <f>(1788.54+225.66)*12</f>
        <v>24170.400000000001</v>
      </c>
      <c r="C127" s="29"/>
      <c r="D127" s="17" t="s">
        <v>1304</v>
      </c>
      <c r="E127" s="13"/>
      <c r="F127" s="7"/>
      <c r="G127" s="133"/>
      <c r="H127" s="495"/>
      <c r="I127" s="7">
        <f>450/1.2</f>
        <v>375</v>
      </c>
      <c r="J127" s="7"/>
      <c r="K127" s="404"/>
      <c r="L127" s="404"/>
      <c r="M127" s="7"/>
      <c r="O127" s="439"/>
      <c r="P127" s="7"/>
      <c r="Q127" s="439"/>
      <c r="R127" s="439"/>
      <c r="S127" s="133"/>
      <c r="T127" s="133"/>
      <c r="U127" s="7"/>
    </row>
    <row r="128" spans="1:27" ht="10.8" thickBot="1">
      <c r="A128" s="18" t="s">
        <v>574</v>
      </c>
      <c r="B128" s="1393">
        <f>E130</f>
        <v>0</v>
      </c>
      <c r="C128" s="29"/>
      <c r="D128" s="17" t="s">
        <v>577</v>
      </c>
      <c r="E128" s="13"/>
      <c r="F128" s="7"/>
      <c r="G128" s="133"/>
      <c r="H128" s="495"/>
      <c r="I128" s="7"/>
      <c r="J128" s="7"/>
      <c r="K128" s="49"/>
      <c r="L128" s="49"/>
      <c r="M128" s="7"/>
      <c r="N128" s="1111"/>
      <c r="O128" s="773"/>
      <c r="P128" s="7"/>
      <c r="Q128" s="439"/>
      <c r="R128" s="132"/>
      <c r="S128" s="133"/>
      <c r="T128" s="133"/>
      <c r="U128" s="7"/>
    </row>
    <row r="129" spans="1:27" ht="10.8" thickBot="1">
      <c r="A129" s="852" t="s">
        <v>1534</v>
      </c>
      <c r="B129" s="1395">
        <f>B124-B127-B128</f>
        <v>-24170.400000000001</v>
      </c>
      <c r="C129" s="29"/>
      <c r="D129" s="17" t="s">
        <v>578</v>
      </c>
      <c r="E129" s="13"/>
      <c r="F129" s="7"/>
      <c r="G129" s="133"/>
      <c r="H129" s="495"/>
      <c r="I129" s="7"/>
      <c r="J129" s="7"/>
      <c r="M129" s="7"/>
      <c r="N129" s="7"/>
      <c r="O129" s="773"/>
      <c r="P129" s="7"/>
      <c r="Q129" s="439"/>
      <c r="R129" s="132"/>
      <c r="S129" s="133"/>
      <c r="T129" s="133"/>
      <c r="U129" s="7"/>
    </row>
    <row r="130" spans="1:27" ht="10.8" thickBot="1">
      <c r="A130" s="10"/>
      <c r="B130" s="13"/>
      <c r="D130" s="519"/>
      <c r="E130" s="541"/>
      <c r="Q130" s="439"/>
    </row>
    <row r="131" spans="1:27">
      <c r="Q131" s="439"/>
    </row>
    <row r="134" spans="1:27">
      <c r="A134" s="9" t="s">
        <v>2962</v>
      </c>
      <c r="B134" s="856"/>
      <c r="C134" s="1114"/>
      <c r="E134" s="1114"/>
      <c r="G134" s="857"/>
      <c r="H134" s="856"/>
      <c r="I134" s="856"/>
      <c r="J134" s="856"/>
      <c r="K134" s="856"/>
      <c r="L134" s="856"/>
      <c r="M134" s="856"/>
      <c r="N134" s="856"/>
      <c r="O134" s="856"/>
      <c r="P134" s="856"/>
      <c r="Q134" s="856"/>
      <c r="R134" s="857"/>
      <c r="S134" s="857"/>
      <c r="T134" s="857"/>
      <c r="U134" s="858"/>
      <c r="V134" s="856"/>
      <c r="W134" s="856"/>
      <c r="X134" s="856"/>
    </row>
    <row r="135" spans="1:27" s="115" customFormat="1">
      <c r="A135" s="8"/>
      <c r="B135" s="8"/>
      <c r="C135" s="8"/>
      <c r="D135" s="8"/>
      <c r="E135" s="8"/>
      <c r="F135" s="8"/>
      <c r="G135" s="132"/>
      <c r="H135" s="495"/>
      <c r="I135" s="8"/>
      <c r="J135" s="8"/>
      <c r="K135" s="8"/>
      <c r="L135" s="8"/>
      <c r="M135" s="8"/>
      <c r="N135" s="8"/>
      <c r="O135" s="457"/>
      <c r="P135" s="8"/>
      <c r="Q135" s="8"/>
      <c r="R135" s="132"/>
      <c r="S135" s="132"/>
      <c r="T135" s="132"/>
      <c r="U135" s="8"/>
      <c r="V135" s="862"/>
      <c r="W135" s="8"/>
      <c r="X135" s="8"/>
      <c r="Y135" s="8"/>
      <c r="Z135" s="8"/>
      <c r="AA135" s="8"/>
    </row>
    <row r="136" spans="1:27" s="946" customFormat="1">
      <c r="A136" s="7" t="s">
        <v>3013</v>
      </c>
      <c r="B136" s="1268">
        <f>SUM(O111:O135)</f>
        <v>0</v>
      </c>
      <c r="C136" s="933" t="e">
        <f>B136/B101</f>
        <v>#DIV/0!</v>
      </c>
      <c r="D136" s="9" t="s">
        <v>574</v>
      </c>
      <c r="E136" s="8"/>
      <c r="F136" s="7"/>
      <c r="G136" s="133"/>
      <c r="H136" s="49"/>
      <c r="I136" s="7"/>
      <c r="J136" s="8"/>
      <c r="K136" s="7"/>
      <c r="L136" s="864"/>
      <c r="M136" s="7"/>
      <c r="N136" s="7"/>
      <c r="O136" s="773"/>
      <c r="P136" s="7"/>
      <c r="Q136" s="8"/>
      <c r="R136" s="132"/>
      <c r="S136" s="133"/>
      <c r="T136" s="133"/>
      <c r="U136" s="74"/>
      <c r="V136" s="8"/>
      <c r="W136" s="8"/>
      <c r="X136" s="8"/>
      <c r="Y136" s="8"/>
      <c r="Z136" s="8"/>
      <c r="AA136" s="8"/>
    </row>
    <row r="137" spans="1:27" s="115" customFormat="1">
      <c r="A137" s="7" t="s">
        <v>463</v>
      </c>
      <c r="B137" s="1399">
        <f>SUM(R111:R140)</f>
        <v>0</v>
      </c>
      <c r="C137" s="1292" t="e">
        <f>B136/B137</f>
        <v>#DIV/0!</v>
      </c>
      <c r="D137" s="1266" t="s">
        <v>575</v>
      </c>
      <c r="E137" s="8"/>
      <c r="F137" s="7"/>
      <c r="G137" s="133"/>
      <c r="H137" s="8"/>
      <c r="I137" s="7"/>
      <c r="J137" s="8"/>
      <c r="K137" s="404"/>
      <c r="L137" s="8"/>
      <c r="M137" s="7"/>
      <c r="N137" s="8"/>
      <c r="O137" s="773"/>
      <c r="P137" s="7"/>
      <c r="Q137" s="8"/>
      <c r="R137" s="132"/>
      <c r="S137" s="133"/>
      <c r="T137" s="133"/>
      <c r="U137" s="74"/>
      <c r="V137" s="8"/>
      <c r="W137" s="8"/>
      <c r="X137" s="8"/>
      <c r="Y137" s="8"/>
      <c r="Z137" s="8"/>
      <c r="AA137" s="8"/>
    </row>
    <row r="138" spans="1:27" s="115" customFormat="1">
      <c r="A138" s="7"/>
      <c r="B138" s="7"/>
      <c r="C138" s="29"/>
      <c r="D138" s="1266" t="s">
        <v>576</v>
      </c>
      <c r="E138" s="8"/>
      <c r="F138" s="7"/>
      <c r="G138" s="133"/>
      <c r="H138" s="495"/>
      <c r="I138" s="7"/>
      <c r="J138" s="8"/>
      <c r="K138" s="404"/>
      <c r="L138" s="495"/>
      <c r="M138" s="7"/>
      <c r="N138" s="8"/>
      <c r="O138" s="773">
        <f>(O124+O125+O126+O127+O128+O129+O130+O131+O132+O134)*0.75</f>
        <v>0</v>
      </c>
      <c r="P138" s="7"/>
      <c r="Q138" s="862">
        <f>O129-U129</f>
        <v>0</v>
      </c>
      <c r="R138" s="132"/>
      <c r="S138" s="133"/>
      <c r="T138" s="133"/>
      <c r="U138" s="7"/>
      <c r="V138" s="8"/>
      <c r="W138" s="8"/>
      <c r="X138" s="8"/>
      <c r="Y138" s="8"/>
      <c r="Z138" s="8"/>
      <c r="AA138" s="8"/>
    </row>
    <row r="139" spans="1:27" s="115" customFormat="1">
      <c r="A139" s="7" t="s">
        <v>464</v>
      </c>
      <c r="B139" s="1277">
        <f>(1788.54+225.66)*12</f>
        <v>24170.400000000001</v>
      </c>
      <c r="C139" s="29"/>
      <c r="D139" s="1266" t="s">
        <v>1304</v>
      </c>
      <c r="E139" s="8"/>
      <c r="F139" s="7" t="s">
        <v>3209</v>
      </c>
      <c r="G139" s="132">
        <v>2000</v>
      </c>
      <c r="H139" s="495"/>
      <c r="I139" s="7"/>
      <c r="J139" s="7"/>
      <c r="K139" s="404"/>
      <c r="L139" s="404"/>
      <c r="M139" s="7"/>
      <c r="N139" s="8"/>
      <c r="O139" s="439"/>
      <c r="P139" s="7"/>
      <c r="Q139" s="8"/>
      <c r="R139" s="132"/>
      <c r="S139" s="133"/>
      <c r="T139" s="133"/>
      <c r="U139" s="7"/>
      <c r="V139" s="8"/>
      <c r="W139" s="8"/>
      <c r="X139" s="8"/>
      <c r="Y139" s="8"/>
      <c r="Z139" s="8"/>
      <c r="AA139" s="8"/>
    </row>
    <row r="140" spans="1:27" s="115" customFormat="1">
      <c r="A140" s="7" t="s">
        <v>574</v>
      </c>
      <c r="B140" s="1280">
        <f>E142</f>
        <v>0</v>
      </c>
      <c r="C140" s="29"/>
      <c r="D140" s="1266" t="s">
        <v>577</v>
      </c>
      <c r="E140" s="8"/>
      <c r="F140" s="7"/>
      <c r="G140" s="133"/>
      <c r="H140" s="495"/>
      <c r="I140" s="7"/>
      <c r="J140" s="7"/>
      <c r="K140" s="49"/>
      <c r="L140" s="49"/>
      <c r="M140" s="7"/>
      <c r="N140" s="1111"/>
      <c r="O140" s="773"/>
      <c r="P140" s="7"/>
      <c r="Q140" s="8"/>
      <c r="R140" s="132"/>
      <c r="S140" s="133"/>
      <c r="T140" s="133"/>
      <c r="U140" s="7"/>
      <c r="V140" s="8"/>
      <c r="W140" s="8"/>
      <c r="X140" s="8"/>
      <c r="Y140" s="8"/>
      <c r="Z140" s="8"/>
      <c r="AA140" s="8"/>
    </row>
    <row r="141" spans="1:27" s="115" customFormat="1">
      <c r="A141" s="7" t="s">
        <v>1534</v>
      </c>
      <c r="B141" s="773">
        <f>B136-B139-B140</f>
        <v>-24170.400000000001</v>
      </c>
      <c r="C141" s="29"/>
      <c r="D141" s="1266" t="s">
        <v>578</v>
      </c>
      <c r="E141" s="8"/>
      <c r="F141" s="7"/>
      <c r="G141" s="133"/>
      <c r="H141" s="495"/>
      <c r="I141" s="7"/>
      <c r="J141" s="7"/>
      <c r="K141" s="8"/>
      <c r="L141" s="8"/>
      <c r="M141" s="7"/>
      <c r="N141" s="7"/>
      <c r="O141" s="773"/>
      <c r="P141" s="7"/>
      <c r="Q141" s="8"/>
      <c r="R141" s="132"/>
      <c r="S141" s="133"/>
      <c r="T141" s="133"/>
      <c r="U141" s="7"/>
      <c r="V141" s="8"/>
      <c r="W141" s="8"/>
      <c r="X141" s="8"/>
      <c r="Y141" s="8"/>
      <c r="Z141" s="8"/>
      <c r="AA141" s="8"/>
    </row>
    <row r="142" spans="1:27" s="115" customFormat="1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457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</row>
    <row r="143" spans="1:27" s="115" customFormat="1" ht="12" customHeight="1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13"/>
      <c r="V143" s="8"/>
      <c r="W143" s="8"/>
      <c r="X143" s="8"/>
      <c r="Y143" s="8"/>
      <c r="Z143" s="8"/>
      <c r="AA143" s="8"/>
    </row>
    <row r="144" spans="1:27" s="115" customFormat="1" ht="12" customHeight="1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</row>
    <row r="145" spans="1:27" s="115" customFormat="1">
      <c r="A145" s="9" t="s">
        <v>3210</v>
      </c>
      <c r="B145" s="856"/>
      <c r="C145" s="1114"/>
      <c r="D145" s="8"/>
      <c r="E145" s="1114"/>
      <c r="F145" s="8"/>
      <c r="G145" s="857"/>
      <c r="H145" s="856"/>
      <c r="I145" s="856"/>
      <c r="J145" s="856"/>
      <c r="K145" s="856"/>
      <c r="L145" s="856"/>
      <c r="M145" s="856"/>
      <c r="N145" s="856"/>
      <c r="O145" s="856"/>
      <c r="P145" s="856"/>
      <c r="Q145" s="856"/>
      <c r="R145" s="857"/>
      <c r="S145" s="857"/>
      <c r="T145" s="857"/>
      <c r="U145" s="858"/>
      <c r="V145" s="856"/>
      <c r="W145" s="856"/>
      <c r="X145" s="856"/>
      <c r="Y145" s="8"/>
      <c r="Z145" s="8"/>
      <c r="AA145" s="8"/>
    </row>
    <row r="146" spans="1:27">
      <c r="C146" s="31"/>
      <c r="D146" s="31"/>
      <c r="G146" s="132"/>
      <c r="L146" s="15"/>
      <c r="N146" s="1103"/>
      <c r="O146" s="684"/>
      <c r="R146" s="132"/>
      <c r="S146" s="132"/>
      <c r="T146" s="132"/>
      <c r="U146" s="1133"/>
      <c r="V146" s="86"/>
    </row>
    <row r="147" spans="1:27">
      <c r="C147" s="31"/>
      <c r="D147" s="31"/>
      <c r="G147" s="132"/>
      <c r="L147" s="15"/>
      <c r="N147" s="1103"/>
      <c r="O147" s="684"/>
      <c r="R147" s="132"/>
      <c r="S147" s="132"/>
      <c r="T147" s="132"/>
      <c r="U147" s="1133"/>
      <c r="V147" s="86"/>
    </row>
    <row r="148" spans="1:27" ht="10.8" thickBot="1">
      <c r="G148" s="132"/>
      <c r="O148" s="457"/>
      <c r="R148" s="132"/>
      <c r="S148" s="132"/>
      <c r="T148" s="132"/>
      <c r="U148" s="439"/>
      <c r="V148" s="862"/>
    </row>
    <row r="149" spans="1:27" ht="10.8" thickBot="1">
      <c r="A149" s="18" t="s">
        <v>3212</v>
      </c>
      <c r="B149" s="767">
        <f>SUM(O134:O148)</f>
        <v>0</v>
      </c>
      <c r="C149" s="933" t="e">
        <f>B149/B125</f>
        <v>#DIV/0!</v>
      </c>
      <c r="D149" s="791" t="s">
        <v>574</v>
      </c>
      <c r="E149" s="1225"/>
      <c r="F149" s="7"/>
      <c r="G149" s="133"/>
      <c r="I149" s="7"/>
      <c r="K149" s="7"/>
      <c r="L149" s="864"/>
      <c r="M149" s="7"/>
      <c r="N149" s="7"/>
      <c r="O149" s="773"/>
      <c r="P149" s="7"/>
      <c r="R149" s="132"/>
      <c r="S149" s="133"/>
      <c r="T149" s="133"/>
      <c r="U149" s="1135"/>
    </row>
    <row r="150" spans="1:27" ht="15" thickBot="1">
      <c r="A150" s="768" t="s">
        <v>463</v>
      </c>
      <c r="B150" s="922">
        <f>SUM(R134:R153)</f>
        <v>0</v>
      </c>
      <c r="C150" s="783" t="e">
        <f>B149/B150</f>
        <v>#DIV/0!</v>
      </c>
      <c r="D150" s="17" t="s">
        <v>575</v>
      </c>
      <c r="E150" s="1127"/>
      <c r="F150" s="7"/>
      <c r="G150" s="133"/>
      <c r="H150" s="407"/>
      <c r="I150" s="7"/>
      <c r="K150" s="404"/>
      <c r="M150" s="7"/>
      <c r="O150" s="773"/>
      <c r="P150" s="7"/>
      <c r="R150" s="132"/>
      <c r="S150" s="133"/>
      <c r="T150" s="133" t="s">
        <v>3232</v>
      </c>
      <c r="U150" s="1135"/>
    </row>
    <row r="151" spans="1:27" ht="10.8" thickBot="1">
      <c r="A151" s="7"/>
      <c r="B151" s="7"/>
      <c r="C151" s="29"/>
      <c r="D151" s="17" t="s">
        <v>576</v>
      </c>
      <c r="E151" s="1127"/>
      <c r="F151" s="7"/>
      <c r="G151" s="133"/>
      <c r="I151" s="7"/>
      <c r="K151" s="404"/>
      <c r="L151" s="495"/>
      <c r="M151" s="7"/>
      <c r="O151" s="773"/>
      <c r="P151" s="7"/>
      <c r="R151" s="132"/>
      <c r="S151" s="133"/>
      <c r="T151" s="133"/>
      <c r="U151" s="1135"/>
    </row>
    <row r="152" spans="1:27" ht="10.8" thickBot="1">
      <c r="A152" s="18" t="s">
        <v>464</v>
      </c>
      <c r="B152" s="851">
        <f>(1788.54+225.66)*12</f>
        <v>24170.400000000001</v>
      </c>
      <c r="C152" s="29"/>
      <c r="D152" s="17" t="s">
        <v>1304</v>
      </c>
      <c r="E152" s="1127"/>
      <c r="F152" s="7"/>
      <c r="G152" s="133"/>
      <c r="H152" s="495"/>
      <c r="I152" s="7"/>
      <c r="J152" s="7"/>
      <c r="K152" s="404"/>
      <c r="L152" s="404"/>
      <c r="M152" s="7"/>
      <c r="O152" s="439"/>
      <c r="P152" s="7"/>
      <c r="R152" s="132"/>
      <c r="S152" s="133"/>
      <c r="T152" s="133"/>
      <c r="U152" s="1135"/>
    </row>
    <row r="153" spans="1:27" ht="10.8" thickBot="1">
      <c r="A153" s="852" t="s">
        <v>574</v>
      </c>
      <c r="B153" s="853">
        <f>E155</f>
        <v>0</v>
      </c>
      <c r="C153" s="29"/>
      <c r="D153" s="17" t="s">
        <v>577</v>
      </c>
      <c r="E153" s="1127"/>
      <c r="F153" s="7"/>
      <c r="G153" s="133"/>
      <c r="H153" s="495"/>
      <c r="I153" s="7"/>
      <c r="J153" s="7"/>
      <c r="K153" s="49"/>
      <c r="L153" s="49"/>
      <c r="M153" s="7"/>
      <c r="N153" s="1111"/>
      <c r="O153" s="773"/>
      <c r="P153" s="7"/>
      <c r="R153" s="132"/>
      <c r="S153" s="133"/>
      <c r="T153" s="133"/>
      <c r="U153" s="1135"/>
    </row>
    <row r="154" spans="1:27" ht="10.8" thickBot="1">
      <c r="A154" s="510" t="s">
        <v>1534</v>
      </c>
      <c r="B154" s="854">
        <f>B149-B152-B153</f>
        <v>-24170.400000000001</v>
      </c>
      <c r="C154" s="29"/>
      <c r="D154" s="786" t="s">
        <v>3360</v>
      </c>
      <c r="E154" s="1226">
        <v>745</v>
      </c>
      <c r="F154" s="7"/>
      <c r="G154" s="133"/>
      <c r="H154" s="495"/>
      <c r="I154" s="7"/>
      <c r="J154" s="7"/>
      <c r="M154" s="7"/>
      <c r="N154" s="7"/>
      <c r="O154" s="773"/>
      <c r="P154" s="7"/>
      <c r="R154" s="132"/>
      <c r="S154" s="133"/>
      <c r="T154" s="133"/>
      <c r="U154" s="1135"/>
    </row>
    <row r="155" spans="1:27">
      <c r="U155" s="439"/>
    </row>
    <row r="156" spans="1:27">
      <c r="U156" s="439"/>
    </row>
    <row r="158" spans="1:27">
      <c r="U158" s="439">
        <f>104500*0.9+55000*0.9</f>
        <v>143550</v>
      </c>
    </row>
  </sheetData>
  <sortState xmlns:xlrd2="http://schemas.microsoft.com/office/spreadsheetml/2017/richdata2" ref="A2:AA158">
    <sortCondition ref="J2:J158"/>
    <sortCondition ref="N2:N158"/>
  </sortState>
  <conditionalFormatting sqref="B21">
    <cfRule type="cellIs" dxfId="65" priority="9" stopIfTrue="1" operator="greaterThanOrEqual">
      <formula>0</formula>
    </cfRule>
    <cfRule type="cellIs" dxfId="64" priority="10" stopIfTrue="1" operator="lessThan">
      <formula>0</formula>
    </cfRule>
  </conditionalFormatting>
  <conditionalFormatting sqref="B55">
    <cfRule type="cellIs" dxfId="63" priority="7" stopIfTrue="1" operator="greaterThanOrEqual">
      <formula>0</formula>
    </cfRule>
    <cfRule type="cellIs" dxfId="62" priority="8" stopIfTrue="1" operator="lessThan">
      <formula>0</formula>
    </cfRule>
  </conditionalFormatting>
  <conditionalFormatting sqref="B95">
    <cfRule type="cellIs" dxfId="61" priority="5" stopIfTrue="1" operator="greaterThanOrEqual">
      <formula>0</formula>
    </cfRule>
    <cfRule type="cellIs" dxfId="60" priority="6" stopIfTrue="1" operator="lessThan">
      <formula>0</formula>
    </cfRule>
  </conditionalFormatting>
  <conditionalFormatting sqref="B130">
    <cfRule type="cellIs" dxfId="59" priority="3" stopIfTrue="1" operator="greaterThanOrEqual">
      <formula>0</formula>
    </cfRule>
    <cfRule type="cellIs" dxfId="58" priority="4" stopIfTrue="1" operator="lessThan">
      <formula>0</formula>
    </cfRule>
  </conditionalFormatting>
  <conditionalFormatting sqref="B154">
    <cfRule type="cellIs" dxfId="57" priority="1" stopIfTrue="1" operator="greaterThanOrEqual">
      <formula>0</formula>
    </cfRule>
    <cfRule type="cellIs" dxfId="56" priority="2" stopIfTrue="1" operator="lessThan">
      <formula>0</formula>
    </cfRule>
  </conditionalFormatting>
  <hyperlinks>
    <hyperlink ref="N64" r:id="rId1" xr:uid="{2B2D4CA1-80F6-4C4E-8BB3-67391E4D7163}"/>
    <hyperlink ref="N21" r:id="rId2" xr:uid="{3E4F44C1-E1A3-45D8-8E3A-D34D9BF417E0}"/>
    <hyperlink ref="N2" r:id="rId3" display="mailto:a.lukas@t-online.de" xr:uid="{F21909BD-D8CE-40D5-87C6-8375E306DC6E}"/>
    <hyperlink ref="N14" r:id="rId4" xr:uid="{B3CB8F6A-443D-4E84-9218-E39EA2753D64}"/>
    <hyperlink ref="N62" r:id="rId5" xr:uid="{FD6BAF12-E982-48B1-A996-65192141DF99}"/>
    <hyperlink ref="N24" r:id="rId6" xr:uid="{2B064117-F389-4BCE-B7E2-E748A9BC913C}"/>
    <hyperlink ref="N63" r:id="rId7" xr:uid="{D7E42033-E448-4F4D-99EC-FB7C4832B52F}"/>
    <hyperlink ref="N29" r:id="rId8" xr:uid="{F47C7530-8E29-4275-92AA-42C4AA318564}"/>
    <hyperlink ref="N26" r:id="rId9" xr:uid="{C14E24EA-FDF5-44E6-86CA-B921007C19B7}"/>
    <hyperlink ref="N80" r:id="rId10" xr:uid="{47854983-5060-410E-8100-F829797EC445}"/>
    <hyperlink ref="N48" r:id="rId11" xr:uid="{CC1B42B4-3184-44F7-B980-D16E911827AB}"/>
    <hyperlink ref="N60" r:id="rId12" xr:uid="{DFE8EE38-1431-4349-95E3-4AD6BDF032C4}"/>
    <hyperlink ref="N52" r:id="rId13" xr:uid="{2293F093-D050-4B0E-A5B0-E82033E1CFE6}"/>
    <hyperlink ref="N72" r:id="rId14" xr:uid="{6621FEA5-452F-4478-9D67-7ADDB2566B2D}"/>
    <hyperlink ref="N9" r:id="rId15" xr:uid="{B242EED7-FD73-4426-A773-15180D2C151B}"/>
    <hyperlink ref="N36" r:id="rId16" xr:uid="{B77C260B-09B4-4560-8F21-6F6E005F1B62}"/>
    <hyperlink ref="N61" r:id="rId17" xr:uid="{0440AC05-F770-4EFC-8DF6-E061706DEB2D}"/>
    <hyperlink ref="N49" r:id="rId18" xr:uid="{78D07FA5-FF0C-4DBD-A110-8DB734800391}"/>
    <hyperlink ref="N78" r:id="rId19" xr:uid="{8159C9A7-AE91-443E-936D-84777EFC892C}"/>
    <hyperlink ref="N10" r:id="rId20" xr:uid="{76915C4F-E381-423E-957C-9571F4D4CA6A}"/>
    <hyperlink ref="N68" r:id="rId21" xr:uid="{32E34B4C-FEB2-42A0-A4D1-0EED16F06D23}"/>
    <hyperlink ref="N70" r:id="rId22" xr:uid="{826E9CB7-4AB1-4372-B2D4-BF2FB9CA6CCA}"/>
    <hyperlink ref="N20" r:id="rId23" xr:uid="{64D496B2-8452-4616-BA34-3AF87B665695}"/>
    <hyperlink ref="N56" r:id="rId24" xr:uid="{1FBADA68-1E55-45E2-8981-928CF3FD058D}"/>
    <hyperlink ref="N15" r:id="rId25" xr:uid="{76933EF4-0A99-4B88-A0A9-8F5437285A4E}"/>
    <hyperlink ref="N53" r:id="rId26" xr:uid="{5BB30DA9-A50A-4A43-BAF1-EB318D1C85A9}"/>
    <hyperlink ref="N37" r:id="rId27" display="gaelle@touroul.com" xr:uid="{CF665673-22B1-465C-92A3-BB159764EC31}"/>
    <hyperlink ref="N41" r:id="rId28" xr:uid="{224F705D-32DF-4BEC-9460-E27180DB25FE}"/>
    <hyperlink ref="N57" r:id="rId29" xr:uid="{C96277CE-909C-4EC9-9DDB-CF8AC4DFC52C}"/>
    <hyperlink ref="N73" r:id="rId30" xr:uid="{73071316-A331-42EB-BEF4-F2C5F2BA0AEB}"/>
    <hyperlink ref="N22" r:id="rId31" display="mailto:daenublaser@bluewin.ch" xr:uid="{40B45399-E3EA-45FC-BEB1-D1D5F9BCADF2}"/>
    <hyperlink ref="N5" r:id="rId32" xr:uid="{AE9AA565-094D-4D2B-858D-6F918A9AF149}"/>
    <hyperlink ref="N16" r:id="rId33" xr:uid="{5481C800-F594-4C04-AC47-AB89546B047A}"/>
    <hyperlink ref="N51" r:id="rId34" xr:uid="{248214A7-D9A0-4FBE-A683-A79D24CEFD43}"/>
    <hyperlink ref="N81" r:id="rId35" xr:uid="{50216FD2-6BA8-403B-9DB1-0C9B16CDC43B}"/>
    <hyperlink ref="N35" r:id="rId36" xr:uid="{8B05D9F9-1BC3-49B4-A076-1A184B74765B}"/>
    <hyperlink ref="N66" r:id="rId37" xr:uid="{B73D66F4-EC3E-4A9D-891F-70D562EEB399}"/>
    <hyperlink ref="N59" r:id="rId38" xr:uid="{B7D04357-B605-4E2B-8885-6DC448A3C7C5}"/>
    <hyperlink ref="N71" r:id="rId39" xr:uid="{451E2E7E-1102-4528-8641-9B15CBA2A842}"/>
    <hyperlink ref="N77" r:id="rId40" xr:uid="{CAB255B4-05EA-491F-A941-6324666B5E96}"/>
    <hyperlink ref="N42" r:id="rId41" xr:uid="{140310A9-46A1-4862-AE42-A814DDD06DFF}"/>
    <hyperlink ref="N79" r:id="rId42" xr:uid="{6F79334B-633B-480C-BB63-3821A8DE1960}"/>
    <hyperlink ref="N8" r:id="rId43" xr:uid="{0EB9C9E1-B954-4B64-875A-D04967D81782}"/>
    <hyperlink ref="N54" r:id="rId44" xr:uid="{B717A561-0FCF-49AE-8DBC-5C61149933A8}"/>
    <hyperlink ref="N69" r:id="rId45" xr:uid="{82B5ED79-17C4-451B-80D7-A4565E2E02CC}"/>
    <hyperlink ref="N40" r:id="rId46" xr:uid="{65211A93-42B1-46AD-B2B5-E2730FB7E28E}"/>
    <hyperlink ref="N39" r:id="rId47" xr:uid="{6522AE0E-BCB5-4079-AD26-2A34C813F9E0}"/>
    <hyperlink ref="N3" r:id="rId48" xr:uid="{52B141E7-C208-40F6-8BB5-D297AA86F6D0}"/>
    <hyperlink ref="N75" r:id="rId49" xr:uid="{79111DDD-B88C-4272-B793-E6E776230E50}"/>
    <hyperlink ref="N58" r:id="rId50" xr:uid="{29213407-36EC-4ACC-9D74-683204A32921}"/>
    <hyperlink ref="N17" r:id="rId51" xr:uid="{7FEEF749-95B3-4B7A-B3FA-167B5E29234B}"/>
    <hyperlink ref="N18" r:id="rId52" xr:uid="{E6169F7A-A60F-421F-AC52-6B8C8A7729B0}"/>
    <hyperlink ref="N82" r:id="rId53" xr:uid="{3A937D74-445D-4573-88CE-6D963B4A6C83}"/>
    <hyperlink ref="N25" r:id="rId54" xr:uid="{F5C7F7AD-AB50-4B3F-8E04-EBE39834B129}"/>
    <hyperlink ref="N38" r:id="rId55" display="gaelle@touroul.com" xr:uid="{CB8E258B-0FBF-42A0-A98A-1062A5EAA2A5}"/>
    <hyperlink ref="N74" r:id="rId56" xr:uid="{7A3F7FF3-AB86-4011-BD01-A93DC0F26CF6}"/>
    <hyperlink ref="N7" r:id="rId57" xr:uid="{6FA66EEB-3320-4DF2-9D57-D58A3E15DB98}"/>
    <hyperlink ref="N76" r:id="rId58" xr:uid="{6FE9CE4D-2FBE-4169-AD50-2B1C71AEBF08}"/>
    <hyperlink ref="N23" r:id="rId59" xr:uid="{10F648F0-4350-4BC4-9BB2-19876DAA8729}"/>
    <hyperlink ref="N32" r:id="rId60" xr:uid="{2DFB6D7D-5711-4D42-B81F-04FF1527C34A}"/>
    <hyperlink ref="N34" r:id="rId61" xr:uid="{C5FE2AC9-A27F-40BE-807F-F5BC447DFB5A}"/>
    <hyperlink ref="N33" r:id="rId62" xr:uid="{12D76A95-52D1-4F22-884D-14C66941D383}"/>
    <hyperlink ref="N31" r:id="rId63" xr:uid="{79D27ECB-41FA-4106-AF8F-A67094C61B48}"/>
    <hyperlink ref="N19" r:id="rId64" xr:uid="{0963F344-B7AA-44C1-AEF5-6A7C3687C47B}"/>
    <hyperlink ref="N55" r:id="rId65" xr:uid="{AEB1A64E-D4B6-4C95-8044-BF7F7E0AEB2C}"/>
    <hyperlink ref="N67" r:id="rId66" xr:uid="{EE7DFB53-11BC-4AC0-87FA-7C4A7E256BA8}"/>
    <hyperlink ref="N6" r:id="rId67" xr:uid="{664697D4-D962-48E4-86B4-3066FE3F8780}"/>
    <hyperlink ref="N28" r:id="rId68" xr:uid="{BFA2EF8E-6BF9-4B1E-ADCF-CE8CB6B8F1F7}"/>
    <hyperlink ref="N13" r:id="rId69" xr:uid="{7834A07F-6D7A-4E49-B85B-E2FA03B27F80}"/>
    <hyperlink ref="N12" r:id="rId70" xr:uid="{66A4A68D-ABCB-47FC-8A8E-0D6B9EB59B3B}"/>
    <hyperlink ref="N50" r:id="rId71" xr:uid="{7A0D26D2-E5FE-4D65-9087-021967636A7D}"/>
    <hyperlink ref="N47" r:id="rId72" xr:uid="{79D83C72-0117-474C-AFF0-5978C4781560}"/>
    <hyperlink ref="N45" r:id="rId73" xr:uid="{DD5791DE-1770-4597-A33E-7AF8F4F632B4}"/>
    <hyperlink ref="N4" r:id="rId74" display="mailto:ajau@gmx.ch" xr:uid="{1D0E0A73-3ACA-40D1-8A69-1C24E1434964}"/>
    <hyperlink ref="N84" r:id="rId75" xr:uid="{94D2C6CD-4EB6-4CBA-BF5E-F16E79D47CC3}"/>
    <hyperlink ref="N27" r:id="rId76" xr:uid="{760AF4FF-41FB-495D-8A6F-9B9968842B5F}"/>
    <hyperlink ref="N30" r:id="rId77" xr:uid="{1E0F4932-A336-44DD-8197-F8D98CE8A0CB}"/>
    <hyperlink ref="N43" r:id="rId78" xr:uid="{0579B76B-A459-43C0-BA13-0F319969E1B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887"/>
  <sheetViews>
    <sheetView tabSelected="1" zoomScale="95" zoomScaleNormal="95" workbookViewId="0">
      <pane ySplit="480" topLeftCell="A747" activePane="bottomLeft"/>
      <selection activeCell="Z1" sqref="Z1"/>
      <selection pane="bottomLeft" activeCell="D775" sqref="D775"/>
    </sheetView>
  </sheetViews>
  <sheetFormatPr baseColWidth="10" defaultColWidth="12.21875" defaultRowHeight="12" customHeight="1"/>
  <cols>
    <col min="1" max="1" width="14" style="8" customWidth="1"/>
    <col min="2" max="2" width="18.33203125" style="8" customWidth="1"/>
    <col min="3" max="3" width="8.6640625" style="31" customWidth="1"/>
    <col min="4" max="4" width="12.77734375" style="31" customWidth="1"/>
    <col min="5" max="5" width="20.21875" style="8" customWidth="1"/>
    <col min="6" max="6" width="7.21875" style="8" hidden="1" customWidth="1"/>
    <col min="7" max="7" width="7.21875" style="132" customWidth="1"/>
    <col min="8" max="8" width="14.21875" style="8" customWidth="1"/>
    <col min="9" max="9" width="8" style="8" customWidth="1"/>
    <col min="10" max="10" width="5.77734375" style="8" customWidth="1"/>
    <col min="11" max="11" width="13.77734375" style="8" hidden="1" customWidth="1"/>
    <col min="12" max="12" width="15.21875" style="8" customWidth="1"/>
    <col min="13" max="13" width="7.44140625" style="8" hidden="1" customWidth="1"/>
    <col min="14" max="14" width="21.109375" style="8" customWidth="1"/>
    <col min="15" max="15" width="8.33203125" style="1015" customWidth="1"/>
    <col min="16" max="16" width="16.33203125" style="8" hidden="1" customWidth="1"/>
    <col min="17" max="17" width="15.33203125" style="8" customWidth="1"/>
    <col min="18" max="18" width="4.77734375" style="685" bestFit="1" customWidth="1"/>
    <col min="19" max="19" width="6.6640625" style="132" customWidth="1"/>
    <col min="20" max="20" width="4.44140625" style="132" customWidth="1"/>
    <col min="21" max="21" width="20.21875" style="1851" customWidth="1"/>
    <col min="22" max="22" width="11.6640625" style="86" customWidth="1"/>
    <col min="23" max="23" width="12.21875" style="8"/>
    <col min="24" max="24" width="12.44140625" style="8" bestFit="1" customWidth="1"/>
    <col min="25" max="25" width="9.6640625" style="439" customWidth="1"/>
    <col min="26" max="26" width="7.6640625" style="439" customWidth="1"/>
    <col min="27" max="16384" width="12.21875" style="8"/>
  </cols>
  <sheetData>
    <row r="1" spans="1:26" ht="12" customHeight="1">
      <c r="A1" s="7" t="s">
        <v>0</v>
      </c>
      <c r="B1" s="7" t="s">
        <v>1</v>
      </c>
      <c r="C1" s="29" t="s">
        <v>370</v>
      </c>
      <c r="D1" s="29" t="s">
        <v>371</v>
      </c>
      <c r="E1" s="7" t="s">
        <v>2</v>
      </c>
      <c r="F1" s="7" t="s">
        <v>3</v>
      </c>
      <c r="G1" s="133" t="s">
        <v>4</v>
      </c>
      <c r="H1" s="7" t="s">
        <v>16</v>
      </c>
      <c r="I1" s="7" t="s">
        <v>5</v>
      </c>
      <c r="J1" s="7" t="s">
        <v>6</v>
      </c>
      <c r="K1" s="7" t="s">
        <v>7</v>
      </c>
      <c r="L1" s="7" t="s">
        <v>21</v>
      </c>
      <c r="M1" s="7" t="s">
        <v>8</v>
      </c>
      <c r="N1" s="7" t="s">
        <v>9</v>
      </c>
      <c r="O1" s="1012" t="s">
        <v>418</v>
      </c>
      <c r="P1" s="7" t="s">
        <v>38</v>
      </c>
      <c r="Q1" s="8" t="s">
        <v>67</v>
      </c>
      <c r="R1" s="685" t="s">
        <v>417</v>
      </c>
      <c r="S1" s="133" t="s">
        <v>416</v>
      </c>
      <c r="T1" s="133" t="s">
        <v>105</v>
      </c>
      <c r="U1" s="1819" t="s">
        <v>231</v>
      </c>
      <c r="V1" s="86" t="s">
        <v>836</v>
      </c>
      <c r="W1" s="8" t="s">
        <v>835</v>
      </c>
      <c r="X1" s="8" t="s">
        <v>869</v>
      </c>
      <c r="Y1" s="439" t="s">
        <v>2262</v>
      </c>
    </row>
    <row r="2" spans="1:26" ht="12" customHeight="1">
      <c r="A2" s="7"/>
      <c r="B2" s="7"/>
      <c r="C2" s="29"/>
      <c r="D2" s="29"/>
      <c r="E2" s="7"/>
      <c r="F2" s="7"/>
      <c r="G2" s="133"/>
      <c r="H2" s="7"/>
      <c r="I2" s="7"/>
      <c r="J2" s="7"/>
      <c r="K2" s="7"/>
      <c r="L2" s="7"/>
      <c r="M2" s="7"/>
      <c r="N2" s="7"/>
      <c r="O2" s="1012"/>
      <c r="P2" s="7"/>
      <c r="S2" s="133"/>
      <c r="T2" s="133"/>
      <c r="U2" s="1819"/>
    </row>
    <row r="3" spans="1:26" ht="12" customHeight="1">
      <c r="A3" s="9" t="s">
        <v>361</v>
      </c>
      <c r="B3" s="7"/>
      <c r="C3" s="29"/>
      <c r="D3" s="29"/>
      <c r="E3" s="7"/>
      <c r="F3" s="7"/>
      <c r="G3" s="133"/>
      <c r="H3" s="7"/>
      <c r="I3" s="7"/>
      <c r="J3" s="7"/>
      <c r="K3" s="7"/>
      <c r="L3" s="7"/>
      <c r="M3" s="7"/>
      <c r="N3" s="7"/>
      <c r="O3" s="1012"/>
      <c r="P3" s="7"/>
      <c r="S3" s="133"/>
      <c r="T3" s="133"/>
      <c r="U3" s="1819"/>
    </row>
    <row r="4" spans="1:26" ht="12" customHeight="1">
      <c r="A4" s="7"/>
      <c r="B4" s="7"/>
      <c r="C4" s="29"/>
      <c r="D4" s="29"/>
      <c r="E4" s="7"/>
      <c r="F4" s="7"/>
      <c r="G4" s="133"/>
      <c r="H4" s="7"/>
      <c r="I4" s="7"/>
      <c r="J4" s="7"/>
      <c r="K4" s="7"/>
      <c r="L4" s="7"/>
      <c r="M4" s="7"/>
      <c r="N4" s="7"/>
      <c r="O4" s="1012"/>
      <c r="P4" s="7"/>
      <c r="S4" s="133"/>
      <c r="T4" s="133"/>
      <c r="U4" s="1819"/>
    </row>
    <row r="5" spans="1:26" s="21" customFormat="1" ht="12" customHeight="1">
      <c r="A5" s="20" t="s">
        <v>362</v>
      </c>
      <c r="B5" s="21" t="s">
        <v>363</v>
      </c>
      <c r="C5" s="30">
        <v>39523</v>
      </c>
      <c r="D5" s="30">
        <v>39540</v>
      </c>
      <c r="E5" s="21" t="s">
        <v>369</v>
      </c>
      <c r="G5" s="764">
        <v>4085</v>
      </c>
      <c r="H5" s="21" t="s">
        <v>367</v>
      </c>
      <c r="I5" s="21" t="s">
        <v>365</v>
      </c>
      <c r="J5" s="21" t="s">
        <v>180</v>
      </c>
      <c r="K5" s="21" t="s">
        <v>368</v>
      </c>
      <c r="L5" s="21" t="s">
        <v>364</v>
      </c>
      <c r="M5" s="765"/>
      <c r="N5" s="50" t="s">
        <v>366</v>
      </c>
      <c r="O5" s="1013">
        <v>1400</v>
      </c>
      <c r="R5" s="876">
        <v>2</v>
      </c>
      <c r="S5" s="764">
        <v>5</v>
      </c>
      <c r="T5" s="764"/>
      <c r="U5" s="1820">
        <v>350</v>
      </c>
      <c r="V5" s="78"/>
      <c r="Y5" s="2150"/>
      <c r="Z5" s="2150"/>
    </row>
    <row r="6" spans="1:26" s="21" customFormat="1" ht="12" customHeight="1">
      <c r="A6" s="21" t="s">
        <v>415</v>
      </c>
      <c r="B6" s="21" t="s">
        <v>706</v>
      </c>
      <c r="C6" s="30">
        <v>39557</v>
      </c>
      <c r="D6" s="30">
        <v>39564</v>
      </c>
      <c r="E6" s="21" t="s">
        <v>411</v>
      </c>
      <c r="G6" s="764">
        <v>78690</v>
      </c>
      <c r="I6" s="21" t="s">
        <v>23</v>
      </c>
      <c r="J6" s="21" t="s">
        <v>19</v>
      </c>
      <c r="K6" s="21" t="s">
        <v>412</v>
      </c>
      <c r="L6" s="21" t="s">
        <v>414</v>
      </c>
      <c r="N6" s="50"/>
      <c r="O6" s="1013">
        <v>898</v>
      </c>
      <c r="Q6" s="21" t="s">
        <v>419</v>
      </c>
      <c r="R6" s="876">
        <v>1</v>
      </c>
      <c r="S6" s="764">
        <v>6</v>
      </c>
      <c r="T6" s="764"/>
      <c r="U6" s="1820">
        <v>200</v>
      </c>
      <c r="V6" s="78"/>
      <c r="Y6" s="2150"/>
      <c r="Z6" s="2150"/>
    </row>
    <row r="7" spans="1:26" s="21" customFormat="1" ht="12" customHeight="1">
      <c r="A7" s="21" t="s">
        <v>430</v>
      </c>
      <c r="B7" s="21" t="s">
        <v>431</v>
      </c>
      <c r="C7" s="30">
        <v>39583</v>
      </c>
      <c r="D7" s="30">
        <v>39592</v>
      </c>
      <c r="E7" s="21" t="s">
        <v>432</v>
      </c>
      <c r="G7" s="764">
        <v>60380</v>
      </c>
      <c r="H7" s="21" t="s">
        <v>433</v>
      </c>
      <c r="I7" s="21" t="s">
        <v>23</v>
      </c>
      <c r="J7" s="21" t="s">
        <v>19</v>
      </c>
      <c r="K7" s="21" t="s">
        <v>435</v>
      </c>
      <c r="L7" s="21" t="s">
        <v>436</v>
      </c>
      <c r="N7" s="50" t="s">
        <v>434</v>
      </c>
      <c r="O7" s="1013">
        <v>1100</v>
      </c>
      <c r="Q7" s="21" t="s">
        <v>440</v>
      </c>
      <c r="R7" s="876">
        <v>1</v>
      </c>
      <c r="S7" s="764">
        <v>2</v>
      </c>
      <c r="T7" s="764">
        <v>1</v>
      </c>
      <c r="U7" s="1821">
        <v>250</v>
      </c>
      <c r="V7" s="78"/>
      <c r="Y7" s="2150"/>
      <c r="Z7" s="2150"/>
    </row>
    <row r="8" spans="1:26" s="21" customFormat="1" ht="12" customHeight="1">
      <c r="A8" s="21" t="s">
        <v>438</v>
      </c>
      <c r="B8" s="21" t="s">
        <v>439</v>
      </c>
      <c r="C8" s="30">
        <v>39599</v>
      </c>
      <c r="D8" s="30">
        <v>39606</v>
      </c>
      <c r="E8" s="21" t="s">
        <v>441</v>
      </c>
      <c r="G8" s="764">
        <v>5034</v>
      </c>
      <c r="H8" s="21" t="s">
        <v>442</v>
      </c>
      <c r="I8" s="21" t="s">
        <v>168</v>
      </c>
      <c r="J8" s="21" t="s">
        <v>51</v>
      </c>
      <c r="L8" s="21" t="s">
        <v>443</v>
      </c>
      <c r="N8" s="50" t="s">
        <v>437</v>
      </c>
      <c r="O8" s="1013">
        <v>970</v>
      </c>
      <c r="R8" s="876">
        <v>1</v>
      </c>
      <c r="S8" s="764">
        <v>2</v>
      </c>
      <c r="T8" s="764"/>
      <c r="U8" s="1820">
        <v>225</v>
      </c>
      <c r="V8" s="78"/>
      <c r="Y8" s="2150"/>
      <c r="Z8" s="2150"/>
    </row>
    <row r="9" spans="1:26" s="21" customFormat="1" ht="12" customHeight="1">
      <c r="A9" s="20" t="s">
        <v>372</v>
      </c>
      <c r="C9" s="30">
        <v>39606</v>
      </c>
      <c r="D9" s="30">
        <v>39613</v>
      </c>
      <c r="E9" s="21" t="s">
        <v>373</v>
      </c>
      <c r="G9" s="764" t="s">
        <v>374</v>
      </c>
      <c r="I9" s="21" t="s">
        <v>18</v>
      </c>
      <c r="J9" s="21" t="s">
        <v>51</v>
      </c>
      <c r="L9" s="21" t="s">
        <v>375</v>
      </c>
      <c r="N9" s="51" t="s">
        <v>376</v>
      </c>
      <c r="O9" s="1013">
        <v>900</v>
      </c>
      <c r="R9" s="876">
        <v>1</v>
      </c>
      <c r="S9" s="764">
        <v>2</v>
      </c>
      <c r="T9" s="764">
        <v>1</v>
      </c>
      <c r="U9" s="1820">
        <v>225</v>
      </c>
      <c r="V9" s="78"/>
      <c r="Y9" s="2150"/>
      <c r="Z9" s="2150"/>
    </row>
    <row r="10" spans="1:26" s="21" customFormat="1" ht="12" customHeight="1">
      <c r="A10" s="20" t="s">
        <v>405</v>
      </c>
      <c r="B10" s="21" t="s">
        <v>406</v>
      </c>
      <c r="C10" s="30">
        <v>39620</v>
      </c>
      <c r="D10" s="30">
        <v>39627</v>
      </c>
      <c r="E10" s="21" t="s">
        <v>407</v>
      </c>
      <c r="G10" s="764">
        <v>35435</v>
      </c>
      <c r="H10" s="21" t="s">
        <v>408</v>
      </c>
      <c r="I10" s="21" t="s">
        <v>18</v>
      </c>
      <c r="J10" s="21" t="s">
        <v>51</v>
      </c>
      <c r="L10" s="37" t="s">
        <v>410</v>
      </c>
      <c r="N10" s="51" t="s">
        <v>409</v>
      </c>
      <c r="O10" s="1013">
        <v>1000</v>
      </c>
      <c r="R10" s="876">
        <v>1</v>
      </c>
      <c r="S10" s="764">
        <v>3</v>
      </c>
      <c r="T10" s="764"/>
      <c r="U10" s="1820">
        <v>250</v>
      </c>
      <c r="V10" s="78"/>
      <c r="Y10" s="2150"/>
      <c r="Z10" s="2150"/>
    </row>
    <row r="11" spans="1:26" s="21" customFormat="1" ht="12" customHeight="1">
      <c r="A11" s="20" t="s">
        <v>203</v>
      </c>
      <c r="B11" s="21" t="s">
        <v>202</v>
      </c>
      <c r="C11" s="30">
        <v>39627</v>
      </c>
      <c r="D11" s="30">
        <v>39634</v>
      </c>
      <c r="E11" s="21" t="s">
        <v>420</v>
      </c>
      <c r="G11" s="764">
        <v>76440</v>
      </c>
      <c r="H11" s="21" t="s">
        <v>421</v>
      </c>
      <c r="I11" s="21" t="s">
        <v>23</v>
      </c>
      <c r="J11" s="21" t="s">
        <v>19</v>
      </c>
      <c r="K11" s="21" t="s">
        <v>403</v>
      </c>
      <c r="L11" s="21" t="s">
        <v>404</v>
      </c>
      <c r="N11" s="51" t="s">
        <v>402</v>
      </c>
      <c r="O11" s="1013">
        <v>1300</v>
      </c>
      <c r="Q11" s="21" t="s">
        <v>422</v>
      </c>
      <c r="R11" s="876">
        <v>1</v>
      </c>
      <c r="S11" s="764">
        <v>8</v>
      </c>
      <c r="T11" s="764">
        <v>1</v>
      </c>
      <c r="U11" s="1820">
        <f>O11/4</f>
        <v>325</v>
      </c>
      <c r="V11" s="78"/>
      <c r="Y11" s="2150"/>
      <c r="Z11" s="2150"/>
    </row>
    <row r="12" spans="1:26" s="21" customFormat="1" ht="12" customHeight="1">
      <c r="A12" s="20" t="s">
        <v>377</v>
      </c>
      <c r="B12" s="21" t="s">
        <v>378</v>
      </c>
      <c r="C12" s="30">
        <v>39634</v>
      </c>
      <c r="D12" s="30">
        <v>39648</v>
      </c>
      <c r="E12" s="21" t="s">
        <v>379</v>
      </c>
      <c r="F12" s="21">
        <v>1273</v>
      </c>
      <c r="G12" s="764">
        <v>1273</v>
      </c>
      <c r="H12" s="21" t="s">
        <v>380</v>
      </c>
      <c r="I12" s="21" t="s">
        <v>168</v>
      </c>
      <c r="J12" s="21" t="s">
        <v>19</v>
      </c>
      <c r="L12" s="21" t="s">
        <v>381</v>
      </c>
      <c r="N12" s="50" t="s">
        <v>382</v>
      </c>
      <c r="O12" s="1013">
        <v>2800</v>
      </c>
      <c r="R12" s="876">
        <v>2</v>
      </c>
      <c r="S12" s="764">
        <v>4</v>
      </c>
      <c r="T12" s="764"/>
      <c r="U12" s="1820">
        <v>700</v>
      </c>
      <c r="V12" s="78"/>
      <c r="Y12" s="2150"/>
      <c r="Z12" s="2150"/>
    </row>
    <row r="13" spans="1:26" s="21" customFormat="1" ht="12" customHeight="1">
      <c r="A13" s="21" t="s">
        <v>383</v>
      </c>
      <c r="B13" s="21" t="s">
        <v>388</v>
      </c>
      <c r="C13" s="30">
        <v>39648</v>
      </c>
      <c r="D13" s="30">
        <v>39669</v>
      </c>
      <c r="E13" s="21" t="s">
        <v>384</v>
      </c>
      <c r="G13" s="764">
        <v>94300</v>
      </c>
      <c r="H13" s="21" t="s">
        <v>385</v>
      </c>
      <c r="I13" s="21" t="s">
        <v>23</v>
      </c>
      <c r="J13" s="21" t="s">
        <v>19</v>
      </c>
      <c r="K13" s="21" t="s">
        <v>386</v>
      </c>
      <c r="L13" s="21" t="s">
        <v>387</v>
      </c>
      <c r="N13" s="51"/>
      <c r="O13" s="1013">
        <v>4250</v>
      </c>
      <c r="R13" s="876">
        <v>3</v>
      </c>
      <c r="S13" s="764">
        <v>5</v>
      </c>
      <c r="T13" s="764"/>
      <c r="U13" s="1820">
        <v>1036</v>
      </c>
      <c r="V13" s="78"/>
      <c r="Y13" s="2150"/>
      <c r="Z13" s="2150"/>
    </row>
    <row r="14" spans="1:26" s="21" customFormat="1" ht="12" customHeight="1">
      <c r="A14" s="20" t="s">
        <v>389</v>
      </c>
      <c r="B14" s="21" t="s">
        <v>394</v>
      </c>
      <c r="C14" s="30">
        <v>39669</v>
      </c>
      <c r="D14" s="30">
        <v>39683</v>
      </c>
      <c r="E14" s="21" t="s">
        <v>390</v>
      </c>
      <c r="G14" s="764">
        <v>59370</v>
      </c>
      <c r="H14" s="21" t="s">
        <v>391</v>
      </c>
      <c r="I14" s="21" t="s">
        <v>23</v>
      </c>
      <c r="J14" s="21" t="s">
        <v>19</v>
      </c>
      <c r="K14" s="21" t="s">
        <v>392</v>
      </c>
      <c r="N14" s="51"/>
      <c r="O14" s="1013">
        <v>3000</v>
      </c>
      <c r="R14" s="876">
        <v>2</v>
      </c>
      <c r="S14" s="764">
        <v>4</v>
      </c>
      <c r="T14" s="764">
        <v>1</v>
      </c>
      <c r="U14" s="1820">
        <v>750</v>
      </c>
      <c r="V14" s="78"/>
      <c r="Y14" s="2150"/>
      <c r="Z14" s="2150"/>
    </row>
    <row r="15" spans="1:26" s="21" customFormat="1" ht="12" customHeight="1">
      <c r="A15" s="21" t="s">
        <v>423</v>
      </c>
      <c r="B15" s="21" t="s">
        <v>425</v>
      </c>
      <c r="C15" s="30">
        <v>39690</v>
      </c>
      <c r="D15" s="30">
        <v>39697</v>
      </c>
      <c r="E15" s="21" t="s">
        <v>426</v>
      </c>
      <c r="G15" s="764"/>
      <c r="I15" s="21" t="s">
        <v>429</v>
      </c>
      <c r="J15" s="21" t="s">
        <v>424</v>
      </c>
      <c r="K15" s="21" t="s">
        <v>428</v>
      </c>
      <c r="L15" s="21" t="s">
        <v>427</v>
      </c>
      <c r="N15" s="51"/>
      <c r="O15" s="1013">
        <v>1200</v>
      </c>
      <c r="R15" s="876">
        <v>1</v>
      </c>
      <c r="S15" s="764">
        <v>7</v>
      </c>
      <c r="T15" s="764"/>
      <c r="U15" s="1820">
        <v>300</v>
      </c>
      <c r="V15" s="78"/>
      <c r="Y15" s="2150"/>
      <c r="Z15" s="2150"/>
    </row>
    <row r="16" spans="1:26" s="21" customFormat="1" ht="12" customHeight="1">
      <c r="A16" s="20" t="s">
        <v>395</v>
      </c>
      <c r="B16" s="21" t="s">
        <v>396</v>
      </c>
      <c r="C16" s="30">
        <v>39704</v>
      </c>
      <c r="D16" s="30">
        <v>39718</v>
      </c>
      <c r="E16" s="21" t="s">
        <v>397</v>
      </c>
      <c r="G16" s="764">
        <v>37269</v>
      </c>
      <c r="H16" s="21" t="s">
        <v>398</v>
      </c>
      <c r="I16" s="21" t="s">
        <v>18</v>
      </c>
      <c r="J16" s="21" t="s">
        <v>51</v>
      </c>
      <c r="K16" s="21" t="s">
        <v>399</v>
      </c>
      <c r="L16" s="21" t="s">
        <v>400</v>
      </c>
      <c r="N16" s="51" t="s">
        <v>401</v>
      </c>
      <c r="O16" s="1013">
        <v>2270</v>
      </c>
      <c r="R16" s="876">
        <v>2</v>
      </c>
      <c r="S16" s="764">
        <v>2</v>
      </c>
      <c r="T16" s="764">
        <v>1</v>
      </c>
      <c r="U16" s="1820">
        <v>550</v>
      </c>
      <c r="V16" s="78"/>
      <c r="Y16" s="2150"/>
      <c r="Z16" s="2150"/>
    </row>
    <row r="17" spans="1:26" s="21" customFormat="1" ht="12" customHeight="1">
      <c r="A17" s="20" t="s">
        <v>444</v>
      </c>
      <c r="B17" s="21" t="s">
        <v>256</v>
      </c>
      <c r="C17" s="30">
        <v>39724</v>
      </c>
      <c r="D17" s="30">
        <v>39738</v>
      </c>
      <c r="G17" s="764"/>
      <c r="I17" s="21" t="s">
        <v>18</v>
      </c>
      <c r="J17" s="21" t="s">
        <v>19</v>
      </c>
      <c r="N17" s="50"/>
      <c r="O17" s="1013">
        <v>1642</v>
      </c>
      <c r="R17" s="876">
        <v>2</v>
      </c>
      <c r="S17" s="764">
        <v>5</v>
      </c>
      <c r="T17" s="764">
        <v>1</v>
      </c>
      <c r="U17" s="1820">
        <v>400</v>
      </c>
      <c r="V17" s="78"/>
      <c r="Y17" s="2150"/>
      <c r="Z17" s="2150"/>
    </row>
    <row r="18" spans="1:26" s="21" customFormat="1" ht="12" customHeight="1">
      <c r="A18" s="20" t="s">
        <v>474</v>
      </c>
      <c r="B18" s="21" t="s">
        <v>473</v>
      </c>
      <c r="C18" s="30">
        <v>39746</v>
      </c>
      <c r="D18" s="30">
        <v>39753</v>
      </c>
      <c r="G18" s="764"/>
      <c r="I18" s="21" t="s">
        <v>23</v>
      </c>
      <c r="J18" s="21" t="s">
        <v>19</v>
      </c>
      <c r="K18" s="21" t="s">
        <v>475</v>
      </c>
      <c r="M18" s="21" t="s">
        <v>476</v>
      </c>
      <c r="N18" s="50" t="s">
        <v>472</v>
      </c>
      <c r="O18" s="1013">
        <v>800</v>
      </c>
      <c r="R18" s="876">
        <v>1</v>
      </c>
      <c r="S18" s="764">
        <v>4</v>
      </c>
      <c r="T18" s="764">
        <v>1</v>
      </c>
      <c r="U18" s="1820">
        <v>200</v>
      </c>
      <c r="V18" s="78"/>
      <c r="Y18" s="2150"/>
      <c r="Z18" s="2150"/>
    </row>
    <row r="19" spans="1:26" s="21" customFormat="1" ht="12" customHeight="1">
      <c r="A19" s="20" t="s">
        <v>453</v>
      </c>
      <c r="B19" s="21" t="s">
        <v>454</v>
      </c>
      <c r="C19" s="30">
        <v>39809</v>
      </c>
      <c r="D19" s="30">
        <v>39816</v>
      </c>
      <c r="E19" s="21" t="s">
        <v>455</v>
      </c>
      <c r="G19" s="764" t="s">
        <v>457</v>
      </c>
      <c r="H19" s="21" t="s">
        <v>456</v>
      </c>
      <c r="I19" s="21" t="s">
        <v>168</v>
      </c>
      <c r="J19" s="21" t="s">
        <v>19</v>
      </c>
      <c r="K19" s="21" t="s">
        <v>458</v>
      </c>
      <c r="L19" s="21" t="s">
        <v>460</v>
      </c>
      <c r="M19" s="21" t="s">
        <v>459</v>
      </c>
      <c r="N19" s="50"/>
      <c r="O19" s="1013">
        <v>1150</v>
      </c>
      <c r="R19" s="876">
        <v>1</v>
      </c>
      <c r="S19" s="764">
        <v>2</v>
      </c>
      <c r="T19" s="764"/>
      <c r="U19" s="1820">
        <v>285</v>
      </c>
      <c r="V19" s="78"/>
      <c r="Y19" s="2150"/>
      <c r="Z19" s="2150"/>
    </row>
    <row r="20" spans="1:26" ht="12" customHeight="1" thickBot="1">
      <c r="A20" s="10"/>
      <c r="E20" s="766"/>
      <c r="N20" s="49"/>
      <c r="O20" s="1014"/>
      <c r="U20" s="1822"/>
    </row>
    <row r="21" spans="1:26" ht="12" customHeight="1" thickBot="1">
      <c r="A21" s="18" t="s">
        <v>462</v>
      </c>
      <c r="B21" s="767">
        <f>SUM(O5:O21)</f>
        <v>24680</v>
      </c>
      <c r="N21" s="49"/>
      <c r="O21" s="1014"/>
      <c r="U21" s="1822"/>
    </row>
    <row r="22" spans="1:26" ht="12" customHeight="1" thickBot="1">
      <c r="A22" s="768" t="s">
        <v>463</v>
      </c>
      <c r="B22" s="769">
        <f>SUM(R5:R21)</f>
        <v>22</v>
      </c>
      <c r="C22" s="770">
        <f>B21/B22</f>
        <v>1121.8181818181818</v>
      </c>
      <c r="D22" s="29"/>
      <c r="E22" s="7"/>
      <c r="F22" s="7"/>
      <c r="G22" s="133"/>
      <c r="H22" s="7"/>
      <c r="I22" s="7"/>
      <c r="J22" s="7"/>
      <c r="K22" s="7"/>
      <c r="L22" s="7"/>
      <c r="M22" s="7"/>
      <c r="P22" s="7"/>
      <c r="S22" s="133"/>
      <c r="T22" s="133"/>
      <c r="U22" s="1819"/>
    </row>
    <row r="23" spans="1:26" ht="12" customHeight="1" thickBot="1">
      <c r="A23" s="7"/>
      <c r="B23" s="7"/>
      <c r="C23" s="29"/>
      <c r="D23" s="29"/>
      <c r="E23" s="7"/>
      <c r="F23" s="7"/>
      <c r="G23" s="133"/>
      <c r="H23" s="7"/>
      <c r="I23" s="7"/>
      <c r="J23" s="7"/>
      <c r="K23" s="7"/>
      <c r="L23" s="7"/>
      <c r="M23" s="7"/>
      <c r="P23" s="7"/>
      <c r="S23" s="133"/>
      <c r="T23" s="133"/>
      <c r="U23" s="1819"/>
    </row>
    <row r="24" spans="1:26" ht="12" customHeight="1" thickBot="1">
      <c r="A24" s="771" t="s">
        <v>464</v>
      </c>
      <c r="B24" s="772">
        <f>1577.94*12</f>
        <v>18935.28</v>
      </c>
      <c r="C24" s="29"/>
      <c r="D24" s="29"/>
      <c r="E24" s="7"/>
      <c r="F24" s="7"/>
      <c r="G24" s="133"/>
      <c r="H24" s="7"/>
      <c r="I24" s="7"/>
      <c r="J24" s="7"/>
      <c r="K24" s="7"/>
      <c r="L24" s="7"/>
      <c r="M24" s="7"/>
      <c r="N24" s="7"/>
      <c r="O24" s="1012"/>
      <c r="P24" s="7"/>
      <c r="S24" s="133"/>
      <c r="T24" s="133"/>
      <c r="U24" s="1819"/>
    </row>
    <row r="25" spans="1:26" ht="12" customHeight="1">
      <c r="A25" s="7"/>
      <c r="B25" s="7"/>
      <c r="C25" s="29"/>
      <c r="D25" s="29"/>
      <c r="E25" s="7"/>
      <c r="F25" s="7"/>
      <c r="G25" s="133"/>
      <c r="H25" s="7"/>
      <c r="I25" s="7"/>
      <c r="J25" s="7"/>
      <c r="K25" s="7"/>
      <c r="L25" s="7"/>
      <c r="M25" s="7"/>
      <c r="N25" s="7"/>
      <c r="O25" s="1012"/>
      <c r="P25" s="7"/>
      <c r="S25" s="133"/>
      <c r="T25" s="133"/>
      <c r="U25" s="1819"/>
    </row>
    <row r="26" spans="1:26" ht="12" customHeight="1">
      <c r="A26" s="7" t="s">
        <v>465</v>
      </c>
      <c r="B26" s="774">
        <f>B21-B24</f>
        <v>5744.7200000000012</v>
      </c>
      <c r="C26" s="29"/>
      <c r="D26" s="29"/>
      <c r="E26" s="7"/>
      <c r="F26" s="7"/>
      <c r="G26" s="133"/>
      <c r="H26" s="7"/>
      <c r="I26" s="7"/>
      <c r="J26" s="7"/>
      <c r="K26" s="7"/>
      <c r="L26" s="7"/>
      <c r="M26" s="7"/>
      <c r="N26" s="7"/>
      <c r="O26" s="1012"/>
      <c r="P26" s="7"/>
      <c r="S26" s="133"/>
      <c r="T26" s="133"/>
      <c r="U26" s="1819"/>
    </row>
    <row r="27" spans="1:26" ht="12" customHeight="1">
      <c r="A27" s="7" t="s">
        <v>466</v>
      </c>
      <c r="B27" s="774">
        <f>B21/12</f>
        <v>2056.6666666666665</v>
      </c>
      <c r="C27" s="29"/>
      <c r="D27" s="29"/>
      <c r="E27" s="7"/>
      <c r="F27" s="7"/>
      <c r="G27" s="133"/>
      <c r="H27" s="7"/>
      <c r="I27" s="7"/>
      <c r="J27" s="7"/>
      <c r="K27" s="7"/>
      <c r="L27" s="7"/>
      <c r="M27" s="7"/>
      <c r="N27" s="7"/>
      <c r="O27" s="1012"/>
      <c r="P27" s="7"/>
      <c r="S27" s="133"/>
      <c r="T27" s="133"/>
      <c r="U27" s="1819"/>
    </row>
    <row r="28" spans="1:26" ht="12" customHeight="1">
      <c r="A28" s="7"/>
      <c r="B28" s="7"/>
      <c r="C28" s="29"/>
      <c r="D28" s="29"/>
      <c r="E28" s="7"/>
      <c r="F28" s="7"/>
      <c r="G28" s="133"/>
      <c r="H28" s="7"/>
      <c r="I28" s="7"/>
      <c r="J28" s="7"/>
      <c r="K28" s="7"/>
      <c r="L28" s="7"/>
      <c r="M28" s="7"/>
      <c r="N28" s="7"/>
      <c r="O28" s="1012"/>
      <c r="P28" s="7"/>
      <c r="S28" s="133"/>
      <c r="T28" s="133"/>
      <c r="U28" s="1819"/>
    </row>
    <row r="29" spans="1:26" s="778" customFormat="1" ht="12" customHeight="1" thickBot="1">
      <c r="A29" s="775"/>
      <c r="B29" s="775"/>
      <c r="C29" s="776"/>
      <c r="D29" s="776"/>
      <c r="E29" s="775"/>
      <c r="F29" s="775"/>
      <c r="G29" s="777"/>
      <c r="H29" s="775"/>
      <c r="I29" s="775"/>
      <c r="J29" s="775"/>
      <c r="K29" s="775"/>
      <c r="L29" s="775"/>
      <c r="M29" s="775"/>
      <c r="N29" s="775"/>
      <c r="O29" s="1016"/>
      <c r="P29" s="775"/>
      <c r="R29" s="877"/>
      <c r="S29" s="777"/>
      <c r="T29" s="777"/>
      <c r="U29" s="1823"/>
      <c r="V29" s="1599"/>
      <c r="Y29" s="2151"/>
      <c r="Z29" s="2151"/>
    </row>
    <row r="30" spans="1:26" ht="12" customHeight="1">
      <c r="A30" s="7"/>
      <c r="B30" s="7"/>
      <c r="C30" s="29"/>
      <c r="D30" s="29"/>
      <c r="E30" s="7"/>
      <c r="F30" s="7"/>
      <c r="G30" s="133"/>
      <c r="H30" s="7"/>
      <c r="I30" s="7"/>
      <c r="J30" s="7"/>
      <c r="K30" s="7"/>
      <c r="L30" s="7"/>
      <c r="M30" s="7"/>
      <c r="N30" s="7"/>
      <c r="O30" s="1012"/>
      <c r="P30" s="7"/>
      <c r="S30" s="133"/>
      <c r="T30" s="133"/>
      <c r="U30" s="1819"/>
    </row>
    <row r="31" spans="1:26" ht="12" customHeight="1" thickBot="1">
      <c r="A31" s="9" t="s">
        <v>471</v>
      </c>
      <c r="B31" s="7"/>
      <c r="C31" s="29"/>
      <c r="D31" s="29"/>
      <c r="E31" s="7"/>
      <c r="F31" s="7"/>
      <c r="G31" s="133"/>
      <c r="H31" s="7"/>
      <c r="I31" s="7"/>
      <c r="J31" s="7"/>
      <c r="K31" s="7"/>
      <c r="L31" s="7"/>
      <c r="M31" s="7"/>
      <c r="N31" s="7"/>
      <c r="O31" s="1012"/>
      <c r="P31" s="7"/>
      <c r="S31" s="133"/>
      <c r="T31" s="133"/>
      <c r="U31" s="1819"/>
    </row>
    <row r="32" spans="1:26" s="21" customFormat="1" ht="12" customHeight="1">
      <c r="A32" s="38" t="s">
        <v>486</v>
      </c>
      <c r="B32" s="39" t="s">
        <v>487</v>
      </c>
      <c r="C32" s="40">
        <v>39900</v>
      </c>
      <c r="D32" s="40">
        <v>39907</v>
      </c>
      <c r="E32" s="39" t="s">
        <v>488</v>
      </c>
      <c r="F32" s="39"/>
      <c r="G32" s="780">
        <v>95130</v>
      </c>
      <c r="H32" s="39" t="s">
        <v>489</v>
      </c>
      <c r="I32" s="39" t="s">
        <v>23</v>
      </c>
      <c r="J32" s="39" t="s">
        <v>19</v>
      </c>
      <c r="K32" s="39" t="s">
        <v>490</v>
      </c>
      <c r="L32" s="39" t="s">
        <v>491</v>
      </c>
      <c r="M32" s="39"/>
      <c r="N32" s="54" t="s">
        <v>492</v>
      </c>
      <c r="O32" s="1017">
        <v>800</v>
      </c>
      <c r="P32" s="39"/>
      <c r="Q32" s="39"/>
      <c r="R32" s="878">
        <v>1</v>
      </c>
      <c r="S32" s="780">
        <v>4</v>
      </c>
      <c r="T32" s="780">
        <v>0</v>
      </c>
      <c r="U32" s="1824">
        <v>200</v>
      </c>
      <c r="V32" s="78"/>
      <c r="Y32" s="2150"/>
      <c r="Z32" s="2150"/>
    </row>
    <row r="33" spans="1:26" s="21" customFormat="1" ht="12" customHeight="1">
      <c r="A33" s="20" t="s">
        <v>504</v>
      </c>
      <c r="B33" s="21" t="s">
        <v>98</v>
      </c>
      <c r="C33" s="30">
        <v>39921</v>
      </c>
      <c r="D33" s="30">
        <v>39928</v>
      </c>
      <c r="E33" s="21" t="s">
        <v>505</v>
      </c>
      <c r="G33" s="764">
        <v>78200</v>
      </c>
      <c r="H33" s="21" t="s">
        <v>506</v>
      </c>
      <c r="I33" s="21" t="s">
        <v>23</v>
      </c>
      <c r="J33" s="21" t="s">
        <v>19</v>
      </c>
      <c r="K33" s="21" t="s">
        <v>507</v>
      </c>
      <c r="L33" s="21" t="s">
        <v>508</v>
      </c>
      <c r="N33" s="50"/>
      <c r="O33" s="1013">
        <v>870</v>
      </c>
      <c r="R33" s="876">
        <v>1</v>
      </c>
      <c r="S33" s="764">
        <v>2</v>
      </c>
      <c r="T33" s="764" t="s">
        <v>509</v>
      </c>
      <c r="U33" s="1825">
        <v>200</v>
      </c>
      <c r="V33" s="78"/>
      <c r="Y33" s="2150"/>
      <c r="Z33" s="2150"/>
    </row>
    <row r="34" spans="1:26" s="21" customFormat="1" ht="12" customHeight="1">
      <c r="A34" s="20" t="s">
        <v>515</v>
      </c>
      <c r="B34" s="21" t="s">
        <v>516</v>
      </c>
      <c r="C34" s="30">
        <v>39963</v>
      </c>
      <c r="D34" s="30">
        <v>39991</v>
      </c>
      <c r="G34" s="764"/>
      <c r="I34" s="21" t="s">
        <v>18</v>
      </c>
      <c r="J34" s="21" t="s">
        <v>19</v>
      </c>
      <c r="K34" s="21" t="s">
        <v>518</v>
      </c>
      <c r="N34" s="50" t="s">
        <v>514</v>
      </c>
      <c r="O34" s="1013">
        <v>2800</v>
      </c>
      <c r="Q34" s="21" t="s">
        <v>517</v>
      </c>
      <c r="R34" s="876">
        <v>3</v>
      </c>
      <c r="S34" s="764">
        <v>3</v>
      </c>
      <c r="T34" s="764"/>
      <c r="U34" s="1825">
        <v>700</v>
      </c>
      <c r="V34" s="78"/>
      <c r="Y34" s="2150"/>
      <c r="Z34" s="2150"/>
    </row>
    <row r="35" spans="1:26" s="21" customFormat="1" ht="12" customHeight="1">
      <c r="A35" s="20" t="s">
        <v>446</v>
      </c>
      <c r="B35" s="21" t="s">
        <v>447</v>
      </c>
      <c r="C35" s="30">
        <v>39970</v>
      </c>
      <c r="D35" s="30">
        <v>39977</v>
      </c>
      <c r="E35" s="21" t="s">
        <v>452</v>
      </c>
      <c r="G35" s="764">
        <v>76228</v>
      </c>
      <c r="H35" s="21" t="s">
        <v>451</v>
      </c>
      <c r="I35" s="21" t="s">
        <v>18</v>
      </c>
      <c r="J35" s="21" t="s">
        <v>51</v>
      </c>
      <c r="L35" s="21" t="s">
        <v>449</v>
      </c>
      <c r="N35" s="50" t="s">
        <v>448</v>
      </c>
      <c r="O35" s="1013">
        <v>970</v>
      </c>
      <c r="Q35" s="21" t="s">
        <v>450</v>
      </c>
      <c r="R35" s="876">
        <v>1</v>
      </c>
      <c r="S35" s="764">
        <v>3</v>
      </c>
      <c r="T35" s="764">
        <v>1</v>
      </c>
      <c r="U35" s="1825">
        <v>225</v>
      </c>
      <c r="V35" s="78"/>
      <c r="Y35" s="2150"/>
      <c r="Z35" s="2150"/>
    </row>
    <row r="36" spans="1:26" s="21" customFormat="1" ht="12" customHeight="1">
      <c r="A36" s="20" t="s">
        <v>500</v>
      </c>
      <c r="B36" s="21" t="s">
        <v>501</v>
      </c>
      <c r="C36" s="30">
        <v>39991</v>
      </c>
      <c r="D36" s="30">
        <v>40005</v>
      </c>
      <c r="G36" s="764"/>
      <c r="I36" s="21" t="s">
        <v>18</v>
      </c>
      <c r="J36" s="21" t="s">
        <v>51</v>
      </c>
      <c r="L36" s="21" t="s">
        <v>533</v>
      </c>
      <c r="N36" s="50" t="s">
        <v>502</v>
      </c>
      <c r="O36" s="1013">
        <v>2600</v>
      </c>
      <c r="Q36" s="21" t="s">
        <v>503</v>
      </c>
      <c r="R36" s="876">
        <v>2</v>
      </c>
      <c r="S36" s="764">
        <v>5</v>
      </c>
      <c r="T36" s="764"/>
      <c r="U36" s="1825">
        <v>650</v>
      </c>
      <c r="V36" s="78"/>
      <c r="Y36" s="2150"/>
      <c r="Z36" s="2150"/>
    </row>
    <row r="37" spans="1:26" s="26" customFormat="1" ht="12" customHeight="1">
      <c r="A37" s="25" t="s">
        <v>493</v>
      </c>
      <c r="B37" s="26" t="s">
        <v>494</v>
      </c>
      <c r="C37" s="32">
        <v>40012</v>
      </c>
      <c r="D37" s="32">
        <v>40026</v>
      </c>
      <c r="E37" s="26" t="s">
        <v>496</v>
      </c>
      <c r="G37" s="781">
        <v>26831</v>
      </c>
      <c r="H37" s="26" t="s">
        <v>497</v>
      </c>
      <c r="I37" s="26" t="s">
        <v>18</v>
      </c>
      <c r="J37" s="26" t="s">
        <v>51</v>
      </c>
      <c r="K37" s="26" t="s">
        <v>498</v>
      </c>
      <c r="N37" s="55" t="s">
        <v>495</v>
      </c>
      <c r="O37" s="1018">
        <v>750</v>
      </c>
      <c r="Q37" s="26" t="s">
        <v>499</v>
      </c>
      <c r="R37" s="879">
        <v>0</v>
      </c>
      <c r="S37" s="781">
        <v>8</v>
      </c>
      <c r="T37" s="781"/>
      <c r="U37" s="1825">
        <v>750</v>
      </c>
      <c r="V37" s="1600"/>
      <c r="Y37" s="2152"/>
      <c r="Z37" s="2152"/>
    </row>
    <row r="38" spans="1:26" s="21" customFormat="1" ht="12" customHeight="1">
      <c r="A38" s="20" t="s">
        <v>548</v>
      </c>
      <c r="B38" s="21" t="s">
        <v>549</v>
      </c>
      <c r="C38" s="30">
        <v>40012</v>
      </c>
      <c r="D38" s="30">
        <v>40026</v>
      </c>
      <c r="E38" s="21" t="s">
        <v>550</v>
      </c>
      <c r="G38" s="764">
        <v>60431</v>
      </c>
      <c r="H38" s="21" t="s">
        <v>551</v>
      </c>
      <c r="I38" s="21" t="s">
        <v>18</v>
      </c>
      <c r="J38" s="21" t="s">
        <v>51</v>
      </c>
      <c r="K38" s="21" t="s">
        <v>552</v>
      </c>
      <c r="L38" s="21" t="s">
        <v>553</v>
      </c>
      <c r="N38" s="50" t="s">
        <v>554</v>
      </c>
      <c r="O38" s="1013">
        <v>2645</v>
      </c>
      <c r="Q38" s="21" t="s">
        <v>534</v>
      </c>
      <c r="R38" s="876">
        <v>2</v>
      </c>
      <c r="S38" s="764">
        <v>5</v>
      </c>
      <c r="T38" s="764"/>
      <c r="U38" s="1825">
        <v>645</v>
      </c>
      <c r="V38" s="78"/>
      <c r="Y38" s="2150"/>
      <c r="Z38" s="2150"/>
    </row>
    <row r="39" spans="1:26" s="21" customFormat="1" ht="12" customHeight="1">
      <c r="A39" s="20" t="s">
        <v>477</v>
      </c>
      <c r="B39" s="21" t="s">
        <v>484</v>
      </c>
      <c r="C39" s="30">
        <v>40026</v>
      </c>
      <c r="D39" s="30">
        <v>40040</v>
      </c>
      <c r="E39" s="21" t="s">
        <v>478</v>
      </c>
      <c r="G39" s="764">
        <v>81245</v>
      </c>
      <c r="H39" s="21" t="s">
        <v>479</v>
      </c>
      <c r="I39" s="21" t="s">
        <v>18</v>
      </c>
      <c r="J39" s="21" t="s">
        <v>19</v>
      </c>
      <c r="K39" s="21" t="s">
        <v>481</v>
      </c>
      <c r="L39" s="21" t="s">
        <v>480</v>
      </c>
      <c r="N39" s="50" t="s">
        <v>482</v>
      </c>
      <c r="O39" s="1013">
        <v>3070</v>
      </c>
      <c r="Q39" s="21" t="s">
        <v>483</v>
      </c>
      <c r="R39" s="876">
        <v>2</v>
      </c>
      <c r="S39" s="764">
        <v>6</v>
      </c>
      <c r="T39" s="764"/>
      <c r="U39" s="1825">
        <v>750</v>
      </c>
      <c r="V39" s="78"/>
      <c r="Y39" s="2150"/>
      <c r="Z39" s="2150"/>
    </row>
    <row r="40" spans="1:26" s="21" customFormat="1" ht="12" customHeight="1">
      <c r="A40" s="20" t="s">
        <v>519</v>
      </c>
      <c r="B40" s="21" t="s">
        <v>520</v>
      </c>
      <c r="C40" s="30">
        <v>40040</v>
      </c>
      <c r="D40" s="30">
        <v>40047</v>
      </c>
      <c r="E40" s="21" t="s">
        <v>521</v>
      </c>
      <c r="G40" s="764">
        <v>78670</v>
      </c>
      <c r="H40" s="21" t="s">
        <v>522</v>
      </c>
      <c r="I40" s="21" t="s">
        <v>23</v>
      </c>
      <c r="J40" s="21" t="s">
        <v>19</v>
      </c>
      <c r="K40" s="21" t="s">
        <v>523</v>
      </c>
      <c r="L40" s="21" t="s">
        <v>524</v>
      </c>
      <c r="N40" s="50" t="s">
        <v>525</v>
      </c>
      <c r="O40" s="1013">
        <f>1490+42+70</f>
        <v>1602</v>
      </c>
      <c r="Q40" s="21" t="s">
        <v>526</v>
      </c>
      <c r="R40" s="876">
        <v>1</v>
      </c>
      <c r="S40" s="764">
        <v>5</v>
      </c>
      <c r="T40" s="764">
        <v>2</v>
      </c>
      <c r="U40" s="1825">
        <v>400</v>
      </c>
      <c r="V40" s="78"/>
      <c r="Y40" s="2150"/>
      <c r="Z40" s="2150"/>
    </row>
    <row r="41" spans="1:26" s="21" customFormat="1" ht="12" customHeight="1">
      <c r="A41" s="20" t="s">
        <v>541</v>
      </c>
      <c r="C41" s="30">
        <v>40047</v>
      </c>
      <c r="D41" s="30">
        <v>40054</v>
      </c>
      <c r="E41" s="21" t="s">
        <v>542</v>
      </c>
      <c r="G41" s="764">
        <v>4970</v>
      </c>
      <c r="H41" s="21" t="s">
        <v>543</v>
      </c>
      <c r="I41" s="21" t="s">
        <v>54</v>
      </c>
      <c r="J41" s="21" t="s">
        <v>19</v>
      </c>
      <c r="K41" s="21" t="s">
        <v>544</v>
      </c>
      <c r="L41" s="21" t="s">
        <v>545</v>
      </c>
      <c r="N41" s="50" t="s">
        <v>546</v>
      </c>
      <c r="O41" s="1013">
        <f>1190+70</f>
        <v>1260</v>
      </c>
      <c r="Q41" s="21" t="s">
        <v>547</v>
      </c>
      <c r="R41" s="876">
        <v>1</v>
      </c>
      <c r="S41" s="764">
        <v>4</v>
      </c>
      <c r="T41" s="764"/>
      <c r="U41" s="1825">
        <v>300</v>
      </c>
      <c r="V41" s="78"/>
      <c r="Y41" s="2150"/>
      <c r="Z41" s="2150"/>
    </row>
    <row r="42" spans="1:26" s="21" customFormat="1" ht="12" customHeight="1">
      <c r="A42" s="20" t="s">
        <v>555</v>
      </c>
      <c r="B42" s="21" t="s">
        <v>556</v>
      </c>
      <c r="C42" s="30">
        <v>40054</v>
      </c>
      <c r="D42" s="30">
        <v>40061</v>
      </c>
      <c r="E42" s="21" t="s">
        <v>557</v>
      </c>
      <c r="G42" s="764">
        <v>30171</v>
      </c>
      <c r="H42" s="21" t="s">
        <v>558</v>
      </c>
      <c r="I42" s="21" t="s">
        <v>18</v>
      </c>
      <c r="J42" s="21" t="s">
        <v>51</v>
      </c>
      <c r="L42" s="21" t="s">
        <v>559</v>
      </c>
      <c r="N42" s="50" t="s">
        <v>469</v>
      </c>
      <c r="O42" s="1013">
        <v>1000</v>
      </c>
      <c r="Q42" s="21">
        <v>2</v>
      </c>
      <c r="R42" s="876">
        <v>1</v>
      </c>
      <c r="S42" s="764">
        <v>2</v>
      </c>
      <c r="T42" s="764"/>
      <c r="U42" s="1825">
        <v>250</v>
      </c>
      <c r="V42" s="78"/>
      <c r="Y42" s="2150"/>
      <c r="Z42" s="2150"/>
    </row>
    <row r="43" spans="1:26" s="21" customFormat="1" ht="12" customHeight="1">
      <c r="A43" s="20" t="s">
        <v>527</v>
      </c>
      <c r="B43" s="21" t="s">
        <v>528</v>
      </c>
      <c r="C43" s="30">
        <v>40061</v>
      </c>
      <c r="D43" s="30">
        <v>40068</v>
      </c>
      <c r="E43" s="21" t="s">
        <v>529</v>
      </c>
      <c r="G43" s="764">
        <v>54595</v>
      </c>
      <c r="H43" s="21" t="s">
        <v>530</v>
      </c>
      <c r="I43" s="21" t="s">
        <v>18</v>
      </c>
      <c r="J43" s="21" t="s">
        <v>19</v>
      </c>
      <c r="L43" s="21" t="s">
        <v>531</v>
      </c>
      <c r="N43" s="50" t="s">
        <v>532</v>
      </c>
      <c r="O43" s="1013">
        <f>1100+42+70</f>
        <v>1212</v>
      </c>
      <c r="Q43" s="21">
        <v>4</v>
      </c>
      <c r="R43" s="876">
        <v>1</v>
      </c>
      <c r="S43" s="764">
        <v>4</v>
      </c>
      <c r="T43" s="764">
        <v>2</v>
      </c>
      <c r="U43" s="1825">
        <v>275</v>
      </c>
      <c r="V43" s="78"/>
      <c r="Y43" s="2150"/>
      <c r="Z43" s="2150"/>
    </row>
    <row r="44" spans="1:26" s="21" customFormat="1" ht="12" customHeight="1">
      <c r="A44" s="20" t="s">
        <v>510</v>
      </c>
      <c r="B44" s="21" t="s">
        <v>511</v>
      </c>
      <c r="C44" s="30">
        <v>40069</v>
      </c>
      <c r="D44" s="30">
        <v>40083</v>
      </c>
      <c r="G44" s="764"/>
      <c r="I44" s="21" t="s">
        <v>18</v>
      </c>
      <c r="J44" s="21" t="s">
        <v>51</v>
      </c>
      <c r="N44" s="50"/>
      <c r="O44" s="1013">
        <v>2112</v>
      </c>
      <c r="Q44" s="21" t="s">
        <v>512</v>
      </c>
      <c r="R44" s="876">
        <v>2</v>
      </c>
      <c r="S44" s="764">
        <v>2</v>
      </c>
      <c r="T44" s="764">
        <v>1</v>
      </c>
      <c r="U44" s="1825">
        <v>500</v>
      </c>
      <c r="V44" s="78"/>
      <c r="Y44" s="2150"/>
      <c r="Z44" s="2150"/>
    </row>
    <row r="45" spans="1:26" s="21" customFormat="1" ht="12" customHeight="1">
      <c r="A45" s="20" t="s">
        <v>537</v>
      </c>
      <c r="B45" s="21" t="s">
        <v>538</v>
      </c>
      <c r="C45" s="30">
        <v>40083</v>
      </c>
      <c r="D45" s="30">
        <v>40090</v>
      </c>
      <c r="E45" s="21" t="s">
        <v>535</v>
      </c>
      <c r="G45" s="764">
        <v>8427</v>
      </c>
      <c r="H45" s="21" t="s">
        <v>594</v>
      </c>
      <c r="I45" s="21" t="s">
        <v>168</v>
      </c>
      <c r="J45" s="21" t="s">
        <v>19</v>
      </c>
      <c r="K45" s="21" t="s">
        <v>540</v>
      </c>
      <c r="L45" s="21" t="s">
        <v>539</v>
      </c>
      <c r="N45" s="50" t="s">
        <v>536</v>
      </c>
      <c r="O45" s="1013">
        <v>970</v>
      </c>
      <c r="R45" s="876">
        <v>1</v>
      </c>
      <c r="S45" s="764">
        <v>4</v>
      </c>
      <c r="T45" s="764">
        <v>1</v>
      </c>
      <c r="U45" s="1825">
        <v>225</v>
      </c>
      <c r="V45" s="78"/>
      <c r="Y45" s="2150"/>
      <c r="Z45" s="2150"/>
    </row>
    <row r="46" spans="1:26" s="21" customFormat="1" ht="12" customHeight="1">
      <c r="A46" s="20" t="s">
        <v>560</v>
      </c>
      <c r="B46" s="21" t="s">
        <v>561</v>
      </c>
      <c r="C46" s="30">
        <v>40096</v>
      </c>
      <c r="D46" s="30">
        <v>40110</v>
      </c>
      <c r="E46" s="21" t="s">
        <v>562</v>
      </c>
      <c r="G46" s="764">
        <v>41466</v>
      </c>
      <c r="H46" s="21" t="s">
        <v>187</v>
      </c>
      <c r="I46" s="21" t="s">
        <v>18</v>
      </c>
      <c r="J46" s="21" t="s">
        <v>51</v>
      </c>
      <c r="K46" s="21" t="s">
        <v>563</v>
      </c>
      <c r="N46" s="50" t="s">
        <v>565</v>
      </c>
      <c r="O46" s="1013">
        <v>1580</v>
      </c>
      <c r="Q46" s="21" t="s">
        <v>564</v>
      </c>
      <c r="R46" s="876">
        <v>2</v>
      </c>
      <c r="S46" s="764">
        <v>5</v>
      </c>
      <c r="T46" s="764">
        <v>1</v>
      </c>
      <c r="U46" s="1825">
        <f>1580/4</f>
        <v>395</v>
      </c>
      <c r="V46" s="78"/>
      <c r="Y46" s="2150"/>
      <c r="Z46" s="2150"/>
    </row>
    <row r="47" spans="1:26" s="21" customFormat="1" ht="12" customHeight="1">
      <c r="A47" s="20" t="s">
        <v>566</v>
      </c>
      <c r="B47" s="21" t="s">
        <v>567</v>
      </c>
      <c r="C47" s="30">
        <v>40130</v>
      </c>
      <c r="D47" s="30">
        <v>40137</v>
      </c>
      <c r="E47" s="21" t="s">
        <v>568</v>
      </c>
      <c r="G47" s="764">
        <v>4148</v>
      </c>
      <c r="H47" s="21" t="s">
        <v>569</v>
      </c>
      <c r="I47" s="21" t="s">
        <v>168</v>
      </c>
      <c r="J47" s="21" t="s">
        <v>19</v>
      </c>
      <c r="K47" s="21" t="s">
        <v>570</v>
      </c>
      <c r="L47" s="21" t="s">
        <v>571</v>
      </c>
      <c r="N47" s="50" t="s">
        <v>572</v>
      </c>
      <c r="O47" s="1013">
        <v>760</v>
      </c>
      <c r="Q47" s="21" t="s">
        <v>573</v>
      </c>
      <c r="R47" s="876">
        <v>1</v>
      </c>
      <c r="S47" s="764">
        <v>4</v>
      </c>
      <c r="T47" s="764"/>
      <c r="U47" s="1825">
        <v>297.60000000000002</v>
      </c>
      <c r="V47" s="78"/>
      <c r="Y47" s="2150"/>
      <c r="Z47" s="2150"/>
    </row>
    <row r="48" spans="1:26" s="21" customFormat="1" ht="12" customHeight="1">
      <c r="A48" s="20" t="s">
        <v>587</v>
      </c>
      <c r="B48" s="21" t="s">
        <v>588</v>
      </c>
      <c r="C48" s="30">
        <v>40173</v>
      </c>
      <c r="D48" s="30">
        <v>40180</v>
      </c>
      <c r="E48" s="21" t="s">
        <v>586</v>
      </c>
      <c r="G48" s="764">
        <v>92400</v>
      </c>
      <c r="H48" s="21" t="s">
        <v>589</v>
      </c>
      <c r="I48" s="21" t="s">
        <v>23</v>
      </c>
      <c r="J48" s="21" t="s">
        <v>19</v>
      </c>
      <c r="K48" s="21" t="s">
        <v>590</v>
      </c>
      <c r="L48" s="21" t="s">
        <v>591</v>
      </c>
      <c r="N48" s="50" t="s">
        <v>593</v>
      </c>
      <c r="O48" s="1013">
        <v>1050</v>
      </c>
      <c r="Q48" s="21" t="s">
        <v>592</v>
      </c>
      <c r="R48" s="876">
        <v>1</v>
      </c>
      <c r="S48" s="764">
        <v>4</v>
      </c>
      <c r="T48" s="764"/>
      <c r="U48" s="1825">
        <v>300</v>
      </c>
      <c r="V48" s="78"/>
      <c r="Y48" s="2150"/>
      <c r="Z48" s="2150"/>
    </row>
    <row r="49" spans="1:26" ht="12" customHeight="1" thickBot="1">
      <c r="A49" s="10"/>
      <c r="E49" s="766"/>
      <c r="N49" s="49"/>
      <c r="O49" s="1014"/>
      <c r="U49" s="1822"/>
    </row>
    <row r="50" spans="1:26" ht="12" customHeight="1" thickBot="1">
      <c r="A50" s="18" t="s">
        <v>470</v>
      </c>
      <c r="B50" s="767">
        <f>SUM(O32:O50)</f>
        <v>26051</v>
      </c>
      <c r="D50" s="18" t="s">
        <v>574</v>
      </c>
      <c r="E50" s="782"/>
      <c r="N50" s="49"/>
      <c r="O50" s="1014"/>
      <c r="U50" s="1822"/>
    </row>
    <row r="51" spans="1:26" ht="12" customHeight="1" thickBot="1">
      <c r="A51" s="768" t="s">
        <v>463</v>
      </c>
      <c r="B51" s="769">
        <f>SUM(R32:R50)</f>
        <v>23</v>
      </c>
      <c r="C51" s="783">
        <f>B50/B51</f>
        <v>1132.6521739130435</v>
      </c>
      <c r="D51" s="17" t="s">
        <v>575</v>
      </c>
      <c r="E51" s="13"/>
      <c r="F51" s="7"/>
      <c r="G51" s="133"/>
      <c r="H51" s="7"/>
      <c r="I51" s="7"/>
      <c r="J51" s="7"/>
      <c r="K51" s="7"/>
      <c r="L51" s="7"/>
      <c r="M51" s="7"/>
      <c r="P51" s="7"/>
      <c r="S51" s="133"/>
      <c r="T51" s="133"/>
      <c r="U51" s="1826"/>
    </row>
    <row r="52" spans="1:26" ht="12" customHeight="1" thickBot="1">
      <c r="A52" s="510"/>
      <c r="B52" s="7"/>
      <c r="C52" s="29"/>
      <c r="D52" s="17" t="s">
        <v>576</v>
      </c>
      <c r="E52" s="13"/>
      <c r="F52" s="7"/>
      <c r="G52" s="133"/>
      <c r="H52" s="7"/>
      <c r="I52" s="7"/>
      <c r="J52" s="7"/>
      <c r="K52" s="7"/>
      <c r="L52" s="7"/>
      <c r="M52" s="7"/>
      <c r="P52" s="7"/>
      <c r="S52" s="133"/>
      <c r="T52" s="133"/>
      <c r="U52" s="1826"/>
    </row>
    <row r="53" spans="1:26" ht="12" customHeight="1" thickBot="1">
      <c r="A53" s="771" t="s">
        <v>464</v>
      </c>
      <c r="B53" s="772">
        <f>1577.94*12</f>
        <v>18935.28</v>
      </c>
      <c r="C53" s="29"/>
      <c r="D53" s="17" t="s">
        <v>579</v>
      </c>
      <c r="E53" s="13">
        <v>1500</v>
      </c>
      <c r="F53" s="7"/>
      <c r="G53" s="133"/>
      <c r="H53" s="7"/>
      <c r="I53" s="785"/>
      <c r="J53" s="7"/>
      <c r="K53" s="7"/>
      <c r="L53" s="7"/>
      <c r="M53" s="7"/>
      <c r="N53" s="773"/>
      <c r="O53" s="1012"/>
      <c r="P53" s="7"/>
      <c r="S53" s="133"/>
      <c r="T53" s="133"/>
      <c r="U53" s="1826"/>
    </row>
    <row r="54" spans="1:26" ht="12" customHeight="1">
      <c r="A54" s="510"/>
      <c r="B54" s="7"/>
      <c r="C54" s="29"/>
      <c r="D54" s="17" t="s">
        <v>577</v>
      </c>
      <c r="E54" s="13">
        <v>712</v>
      </c>
      <c r="F54" s="7"/>
      <c r="G54" s="133"/>
      <c r="H54" s="7"/>
      <c r="I54" s="7"/>
      <c r="J54" s="7"/>
      <c r="K54" s="7"/>
      <c r="L54" s="7"/>
      <c r="M54" s="7"/>
      <c r="N54" s="7"/>
      <c r="O54" s="1012"/>
      <c r="P54" s="7"/>
      <c r="S54" s="133"/>
      <c r="T54" s="133"/>
      <c r="U54" s="1826"/>
    </row>
    <row r="55" spans="1:26" ht="12" customHeight="1" thickBot="1">
      <c r="A55" s="510" t="s">
        <v>465</v>
      </c>
      <c r="B55" s="774">
        <f>B50-B53</f>
        <v>7115.7200000000012</v>
      </c>
      <c r="C55" s="29"/>
      <c r="D55" s="786" t="s">
        <v>578</v>
      </c>
      <c r="E55" s="541"/>
      <c r="F55" s="7"/>
      <c r="G55" s="133"/>
      <c r="H55" s="7"/>
      <c r="I55" s="7"/>
      <c r="J55" s="7"/>
      <c r="K55" s="7"/>
      <c r="L55" s="7"/>
      <c r="M55" s="7"/>
      <c r="N55" s="7"/>
      <c r="O55" s="1012"/>
      <c r="P55" s="7"/>
      <c r="S55" s="133"/>
      <c r="T55" s="133"/>
      <c r="U55" s="1826"/>
    </row>
    <row r="56" spans="1:26" ht="12" customHeight="1" thickBot="1">
      <c r="A56" s="768" t="s">
        <v>466</v>
      </c>
      <c r="B56" s="787">
        <f>B50/12</f>
        <v>2170.9166666666665</v>
      </c>
      <c r="C56" s="776"/>
      <c r="D56" s="788" t="s">
        <v>585</v>
      </c>
      <c r="E56" s="789">
        <f>SUM(E51:E55)</f>
        <v>2212</v>
      </c>
      <c r="F56" s="775"/>
      <c r="G56" s="777"/>
      <c r="H56" s="775"/>
      <c r="I56" s="775"/>
      <c r="J56" s="775"/>
      <c r="K56" s="775"/>
      <c r="L56" s="775"/>
      <c r="M56" s="775"/>
      <c r="N56" s="775"/>
      <c r="O56" s="1016"/>
      <c r="P56" s="775"/>
      <c r="Q56" s="778"/>
      <c r="R56" s="877"/>
      <c r="S56" s="777"/>
      <c r="T56" s="777"/>
      <c r="U56" s="1827"/>
    </row>
    <row r="57" spans="1:26" ht="12" customHeight="1">
      <c r="A57" s="10"/>
      <c r="N57" s="49"/>
      <c r="O57" s="1014"/>
      <c r="U57" s="1828"/>
    </row>
    <row r="58" spans="1:26" ht="12" customHeight="1" thickBot="1">
      <c r="A58" s="9" t="s">
        <v>580</v>
      </c>
      <c r="O58" s="1014"/>
      <c r="U58" s="1828"/>
    </row>
    <row r="59" spans="1:26" ht="12" customHeight="1">
      <c r="A59" s="791"/>
      <c r="B59" s="792"/>
      <c r="C59" s="793"/>
      <c r="D59" s="793"/>
      <c r="E59" s="792"/>
      <c r="F59" s="792"/>
      <c r="G59" s="794"/>
      <c r="H59" s="792"/>
      <c r="I59" s="792"/>
      <c r="J59" s="792"/>
      <c r="K59" s="792"/>
      <c r="L59" s="792"/>
      <c r="M59" s="792"/>
      <c r="N59" s="792"/>
      <c r="O59" s="1019"/>
      <c r="P59" s="792"/>
      <c r="Q59" s="792"/>
      <c r="R59" s="880"/>
      <c r="S59" s="794"/>
      <c r="T59" s="794"/>
      <c r="U59" s="1829"/>
    </row>
    <row r="60" spans="1:26" s="21" customFormat="1" ht="12" customHeight="1">
      <c r="A60" s="20" t="s">
        <v>613</v>
      </c>
      <c r="B60" s="21" t="s">
        <v>614</v>
      </c>
      <c r="C60" s="30">
        <v>40264</v>
      </c>
      <c r="D60" s="30">
        <v>40271</v>
      </c>
      <c r="E60" s="21" t="s">
        <v>616</v>
      </c>
      <c r="G60" s="764" t="s">
        <v>618</v>
      </c>
      <c r="H60" s="21" t="s">
        <v>617</v>
      </c>
      <c r="I60" s="21" t="s">
        <v>18</v>
      </c>
      <c r="J60" s="21" t="s">
        <v>51</v>
      </c>
      <c r="K60" s="21" t="s">
        <v>619</v>
      </c>
      <c r="N60" s="50" t="s">
        <v>615</v>
      </c>
      <c r="O60" s="1013">
        <f>800+70+21</f>
        <v>891</v>
      </c>
      <c r="Q60" s="21" t="s">
        <v>600</v>
      </c>
      <c r="R60" s="876">
        <v>1</v>
      </c>
      <c r="S60" s="764">
        <v>4</v>
      </c>
      <c r="T60" s="764">
        <v>1</v>
      </c>
      <c r="U60" s="1830">
        <f>200</f>
        <v>200</v>
      </c>
      <c r="V60" s="78"/>
      <c r="Y60" s="2150"/>
      <c r="Z60" s="2150"/>
    </row>
    <row r="61" spans="1:26" s="21" customFormat="1" ht="12" customHeight="1">
      <c r="A61" s="20" t="s">
        <v>504</v>
      </c>
      <c r="B61" s="21" t="s">
        <v>98</v>
      </c>
      <c r="C61" s="30">
        <v>39927</v>
      </c>
      <c r="D61" s="30">
        <v>39934</v>
      </c>
      <c r="E61" s="21" t="s">
        <v>505</v>
      </c>
      <c r="G61" s="764">
        <v>78200</v>
      </c>
      <c r="H61" s="21" t="s">
        <v>506</v>
      </c>
      <c r="I61" s="21" t="s">
        <v>23</v>
      </c>
      <c r="J61" s="21" t="s">
        <v>19</v>
      </c>
      <c r="K61" s="21" t="s">
        <v>507</v>
      </c>
      <c r="L61" s="21" t="s">
        <v>508</v>
      </c>
      <c r="N61" s="50"/>
      <c r="O61" s="1013">
        <f>820+70</f>
        <v>890</v>
      </c>
      <c r="Q61" s="21" t="s">
        <v>509</v>
      </c>
      <c r="R61" s="876">
        <v>1</v>
      </c>
      <c r="S61" s="764">
        <v>2</v>
      </c>
      <c r="T61" s="764" t="s">
        <v>509</v>
      </c>
      <c r="U61" s="1825">
        <v>205</v>
      </c>
      <c r="V61" s="78"/>
      <c r="Y61" s="2150"/>
      <c r="Z61" s="2150"/>
    </row>
    <row r="62" spans="1:26" s="21" customFormat="1" ht="12" customHeight="1">
      <c r="A62" s="20" t="s">
        <v>640</v>
      </c>
      <c r="B62" s="21" t="s">
        <v>641</v>
      </c>
      <c r="C62" s="30">
        <v>40299</v>
      </c>
      <c r="D62" s="30">
        <v>40303</v>
      </c>
      <c r="G62" s="764"/>
      <c r="I62" s="21" t="s">
        <v>642</v>
      </c>
      <c r="J62" s="21" t="s">
        <v>19</v>
      </c>
      <c r="N62" s="51"/>
      <c r="O62" s="1013">
        <v>600</v>
      </c>
      <c r="R62" s="876">
        <v>1</v>
      </c>
      <c r="S62" s="764">
        <v>8</v>
      </c>
      <c r="T62" s="764">
        <v>0</v>
      </c>
      <c r="U62" s="1831"/>
      <c r="V62" s="78"/>
      <c r="Y62" s="2150"/>
      <c r="Z62" s="2150"/>
    </row>
    <row r="63" spans="1:26" s="21" customFormat="1" ht="12" customHeight="1">
      <c r="A63" s="20" t="s">
        <v>595</v>
      </c>
      <c r="B63" s="21" t="s">
        <v>596</v>
      </c>
      <c r="C63" s="30">
        <v>40306</v>
      </c>
      <c r="D63" s="30">
        <v>40320</v>
      </c>
      <c r="G63" s="764"/>
      <c r="I63" s="21" t="s">
        <v>18</v>
      </c>
      <c r="J63" s="21" t="s">
        <v>51</v>
      </c>
      <c r="K63" s="21" t="s">
        <v>597</v>
      </c>
      <c r="N63" s="51" t="s">
        <v>598</v>
      </c>
      <c r="O63" s="1013">
        <f>1580+70+84</f>
        <v>1734</v>
      </c>
      <c r="Q63" s="21" t="s">
        <v>599</v>
      </c>
      <c r="R63" s="876">
        <v>2</v>
      </c>
      <c r="S63" s="764">
        <v>3</v>
      </c>
      <c r="T63" s="764">
        <v>2</v>
      </c>
      <c r="U63" s="1831">
        <v>395</v>
      </c>
      <c r="V63" s="78"/>
      <c r="Y63" s="2150"/>
      <c r="Z63" s="2150"/>
    </row>
    <row r="64" spans="1:26" s="21" customFormat="1" ht="12" customHeight="1">
      <c r="A64" s="20" t="s">
        <v>601</v>
      </c>
      <c r="B64" s="21" t="s">
        <v>347</v>
      </c>
      <c r="C64" s="30">
        <v>40320</v>
      </c>
      <c r="D64" s="30">
        <v>40327</v>
      </c>
      <c r="E64" s="21" t="s">
        <v>348</v>
      </c>
      <c r="G64" s="764" t="s">
        <v>349</v>
      </c>
      <c r="H64" s="21" t="s">
        <v>350</v>
      </c>
      <c r="I64" s="21" t="s">
        <v>54</v>
      </c>
      <c r="J64" s="21" t="s">
        <v>19</v>
      </c>
      <c r="L64" s="21" t="s">
        <v>351</v>
      </c>
      <c r="N64" s="50" t="s">
        <v>352</v>
      </c>
      <c r="O64" s="1020">
        <f>790+70</f>
        <v>860</v>
      </c>
      <c r="Q64" s="21" t="s">
        <v>612</v>
      </c>
      <c r="R64" s="876">
        <v>1</v>
      </c>
      <c r="S64" s="764">
        <v>6</v>
      </c>
      <c r="T64" s="764">
        <v>1</v>
      </c>
      <c r="U64" s="1832">
        <f>O64/4</f>
        <v>215</v>
      </c>
      <c r="V64" s="78"/>
      <c r="Y64" s="2150"/>
      <c r="Z64" s="2150"/>
    </row>
    <row r="65" spans="1:26" s="21" customFormat="1" ht="12" customHeight="1">
      <c r="A65" s="20" t="s">
        <v>644</v>
      </c>
      <c r="B65" s="21" t="s">
        <v>396</v>
      </c>
      <c r="C65" s="30">
        <v>40334</v>
      </c>
      <c r="D65" s="30">
        <v>40348</v>
      </c>
      <c r="E65" s="21" t="s">
        <v>645</v>
      </c>
      <c r="G65" s="764" t="s">
        <v>646</v>
      </c>
      <c r="H65" s="21" t="s">
        <v>647</v>
      </c>
      <c r="I65" s="21" t="s">
        <v>18</v>
      </c>
      <c r="J65" s="21" t="s">
        <v>51</v>
      </c>
      <c r="K65" s="21" t="s">
        <v>648</v>
      </c>
      <c r="L65" s="21" t="s">
        <v>649</v>
      </c>
      <c r="N65" s="51"/>
      <c r="O65" s="1020">
        <f>1700+70+60</f>
        <v>1830</v>
      </c>
      <c r="Q65" s="21" t="s">
        <v>599</v>
      </c>
      <c r="R65" s="876">
        <v>2</v>
      </c>
      <c r="S65" s="764">
        <v>2</v>
      </c>
      <c r="T65" s="764"/>
      <c r="U65" s="1832">
        <v>425</v>
      </c>
      <c r="V65" s="78"/>
      <c r="Y65" s="2150"/>
      <c r="Z65" s="2150"/>
    </row>
    <row r="66" spans="1:26" s="21" customFormat="1" ht="12" customHeight="1">
      <c r="A66" s="20" t="s">
        <v>651</v>
      </c>
      <c r="B66" s="21" t="s">
        <v>652</v>
      </c>
      <c r="C66" s="30">
        <v>40348</v>
      </c>
      <c r="D66" s="30">
        <v>40355</v>
      </c>
      <c r="E66" s="21" t="s">
        <v>653</v>
      </c>
      <c r="G66" s="764" t="s">
        <v>654</v>
      </c>
      <c r="H66" s="21" t="s">
        <v>655</v>
      </c>
      <c r="I66" s="21" t="s">
        <v>18</v>
      </c>
      <c r="J66" s="21" t="s">
        <v>19</v>
      </c>
      <c r="L66" s="21" t="s">
        <v>656</v>
      </c>
      <c r="N66" s="50" t="s">
        <v>657</v>
      </c>
      <c r="O66" s="1020">
        <f>950+70</f>
        <v>1020</v>
      </c>
      <c r="R66" s="876">
        <v>1</v>
      </c>
      <c r="S66" s="764">
        <v>4</v>
      </c>
      <c r="T66" s="764" t="s">
        <v>658</v>
      </c>
      <c r="U66" s="1832">
        <v>237.5</v>
      </c>
      <c r="V66" s="78"/>
      <c r="Y66" s="2150"/>
      <c r="Z66" s="2150"/>
    </row>
    <row r="67" spans="1:26" s="21" customFormat="1" ht="12" customHeight="1">
      <c r="A67" s="20" t="s">
        <v>626</v>
      </c>
      <c r="B67" s="21" t="s">
        <v>627</v>
      </c>
      <c r="C67" s="30">
        <v>40362</v>
      </c>
      <c r="D67" s="30">
        <v>40369</v>
      </c>
      <c r="G67" s="764"/>
      <c r="J67" s="21" t="s">
        <v>51</v>
      </c>
      <c r="N67" s="51" t="s">
        <v>625</v>
      </c>
      <c r="O67" s="1020">
        <v>1390</v>
      </c>
      <c r="Q67" s="21" t="s">
        <v>628</v>
      </c>
      <c r="R67" s="876">
        <v>1</v>
      </c>
      <c r="S67" s="764">
        <v>5</v>
      </c>
      <c r="T67" s="764">
        <v>0</v>
      </c>
      <c r="U67" s="1832">
        <f>O67/4</f>
        <v>347.5</v>
      </c>
      <c r="V67" s="78"/>
      <c r="Y67" s="2150"/>
      <c r="Z67" s="2150"/>
    </row>
    <row r="68" spans="1:26" s="21" customFormat="1" ht="12" customHeight="1">
      <c r="A68" s="20" t="s">
        <v>621</v>
      </c>
      <c r="B68" s="21" t="s">
        <v>622</v>
      </c>
      <c r="C68" s="30">
        <v>40376</v>
      </c>
      <c r="D68" s="30">
        <v>40390</v>
      </c>
      <c r="E68" s="21" t="s">
        <v>630</v>
      </c>
      <c r="G68" s="764">
        <v>6005</v>
      </c>
      <c r="H68" s="21" t="s">
        <v>631</v>
      </c>
      <c r="I68" s="21" t="s">
        <v>168</v>
      </c>
      <c r="J68" s="21" t="s">
        <v>19</v>
      </c>
      <c r="K68" s="21" t="s">
        <v>624</v>
      </c>
      <c r="N68" s="51" t="s">
        <v>623</v>
      </c>
      <c r="O68" s="1020">
        <f>3000+70</f>
        <v>3070</v>
      </c>
      <c r="Q68" s="21" t="s">
        <v>629</v>
      </c>
      <c r="R68" s="876">
        <v>2</v>
      </c>
      <c r="S68" s="764">
        <v>4</v>
      </c>
      <c r="T68" s="764">
        <v>0</v>
      </c>
      <c r="U68" s="1832">
        <v>750</v>
      </c>
      <c r="V68" s="78"/>
      <c r="Y68" s="2150"/>
      <c r="Z68" s="2150"/>
    </row>
    <row r="69" spans="1:26" s="21" customFormat="1" ht="12" customHeight="1">
      <c r="A69" s="20" t="s">
        <v>608</v>
      </c>
      <c r="C69" s="30">
        <v>40390</v>
      </c>
      <c r="D69" s="30">
        <v>40404</v>
      </c>
      <c r="G69" s="764"/>
      <c r="J69" s="21" t="s">
        <v>19</v>
      </c>
      <c r="K69" s="21" t="s">
        <v>610</v>
      </c>
      <c r="L69" s="21" t="s">
        <v>611</v>
      </c>
      <c r="N69" s="50"/>
      <c r="O69" s="1013">
        <f>1590*2+70+3*14</f>
        <v>3292</v>
      </c>
      <c r="Q69" s="21" t="s">
        <v>600</v>
      </c>
      <c r="R69" s="876">
        <v>2</v>
      </c>
      <c r="S69" s="764">
        <v>6</v>
      </c>
      <c r="T69" s="764">
        <v>1</v>
      </c>
      <c r="U69" s="1830">
        <f>O69/4</f>
        <v>823</v>
      </c>
      <c r="V69" s="78"/>
      <c r="Y69" s="2150"/>
      <c r="Z69" s="2150"/>
    </row>
    <row r="70" spans="1:26" s="21" customFormat="1" ht="12" customHeight="1">
      <c r="A70" s="20" t="s">
        <v>581</v>
      </c>
      <c r="B70" s="21" t="s">
        <v>582</v>
      </c>
      <c r="C70" s="30">
        <v>40404</v>
      </c>
      <c r="D70" s="30">
        <v>40418</v>
      </c>
      <c r="G70" s="764"/>
      <c r="I70" s="21" t="s">
        <v>18</v>
      </c>
      <c r="J70" s="21" t="s">
        <v>51</v>
      </c>
      <c r="K70" s="21" t="s">
        <v>583</v>
      </c>
      <c r="N70" s="50" t="s">
        <v>620</v>
      </c>
      <c r="O70" s="1013">
        <v>3044</v>
      </c>
      <c r="Q70" s="21" t="s">
        <v>584</v>
      </c>
      <c r="R70" s="876">
        <v>2</v>
      </c>
      <c r="S70" s="764">
        <v>4</v>
      </c>
      <c r="T70" s="764">
        <v>2</v>
      </c>
      <c r="U70" s="1830">
        <f>O70/4</f>
        <v>761</v>
      </c>
      <c r="V70" s="78"/>
      <c r="Y70" s="2150"/>
      <c r="Z70" s="2150"/>
    </row>
    <row r="71" spans="1:26" s="21" customFormat="1" ht="12" customHeight="1">
      <c r="A71" s="20" t="s">
        <v>660</v>
      </c>
      <c r="B71" s="21" t="s">
        <v>661</v>
      </c>
      <c r="C71" s="30">
        <v>40418</v>
      </c>
      <c r="D71" s="30">
        <v>40432</v>
      </c>
      <c r="E71" s="21" t="s">
        <v>662</v>
      </c>
      <c r="G71" s="764" t="s">
        <v>664</v>
      </c>
      <c r="H71" s="21" t="s">
        <v>663</v>
      </c>
      <c r="I71" s="21" t="s">
        <v>18</v>
      </c>
      <c r="J71" s="21" t="s">
        <v>51</v>
      </c>
      <c r="K71" s="53" t="s">
        <v>666</v>
      </c>
      <c r="N71" s="50"/>
      <c r="O71" s="1013">
        <f>545*4+42+70</f>
        <v>2292</v>
      </c>
      <c r="Q71" s="21" t="s">
        <v>659</v>
      </c>
      <c r="R71" s="876">
        <v>2</v>
      </c>
      <c r="S71" s="764">
        <v>4</v>
      </c>
      <c r="T71" s="764">
        <v>1</v>
      </c>
      <c r="U71" s="1830">
        <v>545</v>
      </c>
      <c r="V71" s="78"/>
      <c r="Y71" s="2150"/>
      <c r="Z71" s="2150"/>
    </row>
    <row r="72" spans="1:26" s="21" customFormat="1" ht="12" customHeight="1">
      <c r="A72" s="20" t="s">
        <v>602</v>
      </c>
      <c r="B72" s="21" t="s">
        <v>603</v>
      </c>
      <c r="C72" s="30">
        <v>40432</v>
      </c>
      <c r="D72" s="30">
        <v>40446</v>
      </c>
      <c r="G72" s="764"/>
      <c r="I72" s="21" t="s">
        <v>18</v>
      </c>
      <c r="J72" s="21" t="s">
        <v>51</v>
      </c>
      <c r="K72" s="21" t="s">
        <v>605</v>
      </c>
      <c r="L72" s="21" t="s">
        <v>606</v>
      </c>
      <c r="N72" s="50" t="s">
        <v>607</v>
      </c>
      <c r="O72" s="1020">
        <f>2400+70+2*3*14</f>
        <v>2554</v>
      </c>
      <c r="Q72" s="21" t="s">
        <v>604</v>
      </c>
      <c r="R72" s="876">
        <v>2</v>
      </c>
      <c r="S72" s="764">
        <v>2</v>
      </c>
      <c r="T72" s="764">
        <v>2</v>
      </c>
      <c r="U72" s="1833">
        <f>2400/4</f>
        <v>600</v>
      </c>
      <c r="V72" s="78"/>
      <c r="Y72" s="2150"/>
      <c r="Z72" s="2150"/>
    </row>
    <row r="73" spans="1:26" s="21" customFormat="1" ht="12" customHeight="1">
      <c r="A73" s="20" t="s">
        <v>632</v>
      </c>
      <c r="B73" s="21" t="s">
        <v>627</v>
      </c>
      <c r="C73" s="30">
        <v>40453</v>
      </c>
      <c r="D73" s="30">
        <v>40467</v>
      </c>
      <c r="E73" s="21" t="s">
        <v>633</v>
      </c>
      <c r="G73" s="764" t="s">
        <v>634</v>
      </c>
      <c r="H73" s="21" t="s">
        <v>635</v>
      </c>
      <c r="I73" s="21" t="s">
        <v>168</v>
      </c>
      <c r="J73" s="21" t="s">
        <v>19</v>
      </c>
      <c r="K73" s="21" t="s">
        <v>636</v>
      </c>
      <c r="L73" s="21" t="s">
        <v>637</v>
      </c>
      <c r="N73" s="50" t="s">
        <v>638</v>
      </c>
      <c r="O73" s="1013">
        <v>1800</v>
      </c>
      <c r="Q73" s="21" t="s">
        <v>639</v>
      </c>
      <c r="R73" s="876">
        <v>2</v>
      </c>
      <c r="S73" s="764">
        <v>2</v>
      </c>
      <c r="T73" s="764">
        <v>1</v>
      </c>
      <c r="U73" s="1820">
        <v>450</v>
      </c>
      <c r="V73" s="78"/>
      <c r="Y73" s="2150"/>
      <c r="Z73" s="2150"/>
    </row>
    <row r="74" spans="1:26" s="21" customFormat="1" ht="12" customHeight="1" thickBot="1">
      <c r="A74" s="56" t="s">
        <v>668</v>
      </c>
      <c r="B74" s="57" t="s">
        <v>256</v>
      </c>
      <c r="C74" s="58">
        <v>40542</v>
      </c>
      <c r="D74" s="58">
        <v>40551</v>
      </c>
      <c r="E74" s="57" t="s">
        <v>669</v>
      </c>
      <c r="F74" s="57"/>
      <c r="G74" s="795" t="s">
        <v>670</v>
      </c>
      <c r="H74" s="57" t="s">
        <v>671</v>
      </c>
      <c r="I74" s="57" t="s">
        <v>18</v>
      </c>
      <c r="J74" s="57" t="s">
        <v>51</v>
      </c>
      <c r="K74" s="57"/>
      <c r="L74" s="57" t="s">
        <v>672</v>
      </c>
      <c r="M74" s="57"/>
      <c r="N74" s="112" t="s">
        <v>673</v>
      </c>
      <c r="O74" s="1021">
        <v>1050</v>
      </c>
      <c r="P74" s="57"/>
      <c r="Q74" s="57" t="s">
        <v>674</v>
      </c>
      <c r="R74" s="881">
        <v>1</v>
      </c>
      <c r="S74" s="795">
        <v>4</v>
      </c>
      <c r="T74" s="795">
        <v>0</v>
      </c>
      <c r="U74" s="1834">
        <v>300</v>
      </c>
      <c r="V74" s="78"/>
      <c r="Y74" s="2150"/>
      <c r="Z74" s="2150"/>
    </row>
    <row r="75" spans="1:26" ht="12" customHeight="1">
      <c r="A75" s="10"/>
      <c r="N75" s="49"/>
      <c r="O75" s="1014"/>
      <c r="U75" s="1828"/>
    </row>
    <row r="76" spans="1:26" ht="12" customHeight="1" thickBot="1">
      <c r="A76" s="10"/>
      <c r="N76" s="49"/>
      <c r="O76" s="1014"/>
      <c r="U76" s="1828"/>
    </row>
    <row r="77" spans="1:26" ht="12" customHeight="1" thickBot="1">
      <c r="A77" s="18" t="s">
        <v>643</v>
      </c>
      <c r="B77" s="767">
        <f>SUM(O60:O77)</f>
        <v>26317</v>
      </c>
      <c r="D77" s="791" t="s">
        <v>574</v>
      </c>
      <c r="E77" s="782"/>
      <c r="N77" s="49"/>
      <c r="O77" s="1014"/>
      <c r="U77" s="1828"/>
    </row>
    <row r="78" spans="1:26" ht="12" customHeight="1" thickBot="1">
      <c r="A78" s="768" t="s">
        <v>463</v>
      </c>
      <c r="B78" s="769">
        <f>SUM(R60:R77)</f>
        <v>23</v>
      </c>
      <c r="C78" s="783">
        <f>B77/B78</f>
        <v>1144.2173913043478</v>
      </c>
      <c r="D78" s="17" t="s">
        <v>575</v>
      </c>
      <c r="E78" s="13">
        <f>177*2</f>
        <v>354</v>
      </c>
      <c r="F78" s="7"/>
      <c r="G78" s="133"/>
      <c r="I78" s="7"/>
      <c r="J78" s="7"/>
      <c r="L78" s="7"/>
      <c r="M78" s="7"/>
      <c r="P78" s="7"/>
      <c r="S78" s="133"/>
      <c r="T78" s="133"/>
      <c r="U78" s="1819"/>
    </row>
    <row r="79" spans="1:26" ht="12" customHeight="1" thickBot="1">
      <c r="A79" s="7"/>
      <c r="B79" s="7"/>
      <c r="C79" s="29"/>
      <c r="D79" s="17" t="s">
        <v>576</v>
      </c>
      <c r="E79" s="13">
        <f>71*10</f>
        <v>710</v>
      </c>
      <c r="F79" s="7"/>
      <c r="G79" s="133"/>
      <c r="H79" s="7"/>
      <c r="I79" s="7"/>
      <c r="J79" s="7"/>
      <c r="K79" s="797"/>
      <c r="L79" s="7"/>
      <c r="M79" s="7"/>
      <c r="P79" s="7"/>
      <c r="S79" s="133"/>
      <c r="T79" s="133"/>
      <c r="U79" s="1819"/>
    </row>
    <row r="80" spans="1:26" ht="12" customHeight="1" thickBot="1">
      <c r="A80" s="771" t="s">
        <v>464</v>
      </c>
      <c r="B80" s="772">
        <f>1577.94*12</f>
        <v>18935.28</v>
      </c>
      <c r="C80" s="29"/>
      <c r="D80" s="17" t="s">
        <v>667</v>
      </c>
      <c r="E80" s="13">
        <v>1544</v>
      </c>
      <c r="F80" s="7"/>
      <c r="G80" s="133"/>
      <c r="H80" s="7"/>
      <c r="I80" s="785"/>
      <c r="J80" s="7"/>
      <c r="L80" s="7"/>
      <c r="M80" s="7"/>
      <c r="N80" s="773"/>
      <c r="O80" s="1012"/>
      <c r="P80" s="7"/>
      <c r="S80" s="133"/>
      <c r="T80" s="133"/>
      <c r="U80" s="1819"/>
    </row>
    <row r="81" spans="1:26" ht="12" customHeight="1" thickBot="1">
      <c r="A81" s="7"/>
      <c r="B81" s="7"/>
      <c r="C81" s="29"/>
      <c r="D81" s="17" t="s">
        <v>577</v>
      </c>
      <c r="E81" s="13">
        <f>617</f>
        <v>617</v>
      </c>
      <c r="F81" s="7"/>
      <c r="G81" s="133"/>
      <c r="H81" s="7"/>
      <c r="I81" s="7"/>
      <c r="J81" s="7"/>
      <c r="L81" s="7"/>
      <c r="M81" s="7"/>
      <c r="N81" s="7"/>
      <c r="O81" s="1012"/>
      <c r="P81" s="7"/>
      <c r="Q81" s="798"/>
      <c r="S81" s="133"/>
      <c r="T81" s="133"/>
      <c r="U81" s="1819"/>
    </row>
    <row r="82" spans="1:26" ht="12" customHeight="1" thickBot="1">
      <c r="A82" s="18" t="s">
        <v>465</v>
      </c>
      <c r="B82" s="799">
        <f>B77-B80-E83</f>
        <v>3522.7200000000012</v>
      </c>
      <c r="C82" s="29"/>
      <c r="D82" s="786" t="s">
        <v>578</v>
      </c>
      <c r="E82" s="541">
        <f>634</f>
        <v>634</v>
      </c>
      <c r="F82" s="7"/>
      <c r="G82" s="133"/>
      <c r="H82" s="7"/>
      <c r="I82" s="7"/>
      <c r="J82" s="7"/>
      <c r="K82" s="7"/>
      <c r="L82" s="7"/>
      <c r="M82" s="7"/>
      <c r="N82" s="7"/>
      <c r="O82" s="1012"/>
      <c r="P82" s="7"/>
      <c r="S82" s="133"/>
      <c r="T82" s="133"/>
      <c r="U82" s="1819"/>
    </row>
    <row r="83" spans="1:26" ht="12" customHeight="1" thickBot="1">
      <c r="A83" s="768" t="s">
        <v>466</v>
      </c>
      <c r="B83" s="800">
        <f>B77/12</f>
        <v>2193.0833333333335</v>
      </c>
      <c r="C83" s="29"/>
      <c r="D83" s="801" t="s">
        <v>585</v>
      </c>
      <c r="E83" s="789">
        <f>SUM(E78:E82)</f>
        <v>3859</v>
      </c>
      <c r="F83" s="7"/>
      <c r="G83" s="133"/>
      <c r="H83" s="7"/>
      <c r="I83" s="7"/>
      <c r="J83" s="7"/>
      <c r="K83" s="7"/>
      <c r="L83" s="7"/>
      <c r="M83" s="7"/>
      <c r="N83" s="7"/>
      <c r="O83" s="1012"/>
      <c r="P83" s="7"/>
      <c r="S83" s="133"/>
      <c r="T83" s="133"/>
      <c r="U83" s="1819"/>
    </row>
    <row r="84" spans="1:26" ht="12" customHeight="1">
      <c r="A84" s="7"/>
      <c r="B84" s="773"/>
      <c r="C84" s="29"/>
      <c r="D84" s="29"/>
      <c r="E84" s="7"/>
      <c r="F84" s="7"/>
      <c r="G84" s="133"/>
      <c r="H84" s="7"/>
      <c r="I84" s="7"/>
      <c r="J84" s="7"/>
      <c r="K84" s="7"/>
      <c r="L84" s="7"/>
      <c r="M84" s="7"/>
      <c r="N84" s="7"/>
      <c r="O84" s="1012"/>
      <c r="P84" s="7"/>
      <c r="S84" s="133"/>
      <c r="T84" s="133"/>
      <c r="U84" s="1835"/>
    </row>
    <row r="85" spans="1:26" ht="12" customHeight="1">
      <c r="A85" s="7"/>
      <c r="B85" s="773"/>
      <c r="C85" s="29"/>
      <c r="D85" s="29"/>
      <c r="E85" s="7"/>
      <c r="F85" s="7"/>
      <c r="G85" s="133"/>
      <c r="H85" s="7"/>
      <c r="I85" s="7"/>
      <c r="J85" s="7"/>
      <c r="K85" s="7"/>
      <c r="L85" s="7"/>
      <c r="M85" s="7"/>
      <c r="N85" s="7"/>
      <c r="O85" s="1012"/>
      <c r="P85" s="7"/>
      <c r="S85" s="133"/>
      <c r="T85" s="133"/>
      <c r="U85" s="1819"/>
    </row>
    <row r="86" spans="1:26" ht="12" customHeight="1">
      <c r="A86" s="7"/>
      <c r="B86" s="773"/>
      <c r="C86" s="29"/>
      <c r="D86" s="29"/>
      <c r="E86" s="7"/>
      <c r="F86" s="7"/>
      <c r="G86" s="133"/>
      <c r="H86" s="7"/>
      <c r="I86" s="7"/>
      <c r="J86" s="7"/>
      <c r="K86" s="7"/>
      <c r="L86" s="7"/>
      <c r="M86" s="7"/>
      <c r="N86" s="7"/>
      <c r="O86" s="1012"/>
      <c r="P86" s="7"/>
      <c r="S86" s="133"/>
      <c r="T86" s="133"/>
      <c r="U86" s="1819"/>
    </row>
    <row r="87" spans="1:26" ht="12" customHeight="1">
      <c r="A87" s="9" t="s">
        <v>675</v>
      </c>
      <c r="B87" s="773"/>
      <c r="C87" s="29"/>
      <c r="D87" s="29"/>
      <c r="E87" s="7"/>
      <c r="F87" s="7"/>
      <c r="G87" s="133"/>
      <c r="H87" s="7"/>
      <c r="I87" s="7"/>
      <c r="J87" s="7"/>
      <c r="K87" s="7"/>
      <c r="L87" s="7"/>
      <c r="M87" s="7"/>
      <c r="N87" s="7"/>
      <c r="O87" s="1012"/>
      <c r="P87" s="7"/>
      <c r="S87" s="133"/>
      <c r="T87" s="133"/>
      <c r="U87" s="1819"/>
    </row>
    <row r="88" spans="1:26" ht="12" customHeight="1">
      <c r="A88" s="9"/>
      <c r="B88" s="773"/>
      <c r="C88" s="29"/>
      <c r="D88" s="29"/>
      <c r="E88" s="7"/>
      <c r="F88" s="7"/>
      <c r="G88" s="133"/>
      <c r="H88" s="7"/>
      <c r="I88" s="7"/>
      <c r="J88" s="7"/>
      <c r="K88" s="7"/>
      <c r="L88" s="7"/>
      <c r="M88" s="7"/>
      <c r="N88" s="7"/>
      <c r="O88" s="1012"/>
      <c r="P88" s="7"/>
      <c r="S88" s="133"/>
      <c r="T88" s="133"/>
      <c r="U88" s="1819"/>
    </row>
    <row r="89" spans="1:26" s="61" customFormat="1" ht="12" customHeight="1">
      <c r="A89" s="61" t="s">
        <v>700</v>
      </c>
      <c r="B89" s="61" t="s">
        <v>95</v>
      </c>
      <c r="C89" s="62">
        <v>40593</v>
      </c>
      <c r="D89" s="62">
        <v>40600</v>
      </c>
      <c r="E89" s="61" t="s">
        <v>701</v>
      </c>
      <c r="G89" s="802">
        <v>28410</v>
      </c>
      <c r="H89" s="61" t="s">
        <v>702</v>
      </c>
      <c r="I89" s="61" t="s">
        <v>23</v>
      </c>
      <c r="J89" s="61" t="s">
        <v>19</v>
      </c>
      <c r="K89" s="61" t="s">
        <v>703</v>
      </c>
      <c r="L89" s="61" t="s">
        <v>703</v>
      </c>
      <c r="N89" s="63" t="s">
        <v>704</v>
      </c>
      <c r="O89" s="1022">
        <v>790</v>
      </c>
      <c r="Q89" s="61" t="s">
        <v>705</v>
      </c>
      <c r="R89" s="882">
        <v>1</v>
      </c>
      <c r="S89" s="802">
        <v>4</v>
      </c>
      <c r="T89" s="802">
        <v>0</v>
      </c>
      <c r="U89" s="1836">
        <v>400</v>
      </c>
      <c r="V89" s="1601"/>
      <c r="Y89" s="2153"/>
      <c r="Z89" s="2153"/>
    </row>
    <row r="90" spans="1:26" s="61" customFormat="1" ht="12" customHeight="1">
      <c r="A90" s="61" t="s">
        <v>709</v>
      </c>
      <c r="B90" s="61" t="s">
        <v>710</v>
      </c>
      <c r="C90" s="62">
        <v>40635</v>
      </c>
      <c r="D90" s="62">
        <v>40642</v>
      </c>
      <c r="E90" s="61" t="s">
        <v>715</v>
      </c>
      <c r="G90" s="802" t="s">
        <v>716</v>
      </c>
      <c r="H90" s="61" t="s">
        <v>714</v>
      </c>
      <c r="I90" s="61" t="s">
        <v>18</v>
      </c>
      <c r="J90" s="61" t="s">
        <v>51</v>
      </c>
      <c r="K90" s="61" t="s">
        <v>713</v>
      </c>
      <c r="L90" s="61" t="s">
        <v>712</v>
      </c>
      <c r="N90" s="63" t="s">
        <v>711</v>
      </c>
      <c r="O90" s="1022">
        <f>690+70+42</f>
        <v>802</v>
      </c>
      <c r="Q90" s="61" t="s">
        <v>717</v>
      </c>
      <c r="R90" s="882">
        <v>1</v>
      </c>
      <c r="S90" s="802">
        <v>2</v>
      </c>
      <c r="T90" s="802">
        <v>2</v>
      </c>
      <c r="U90" s="1836">
        <v>200</v>
      </c>
      <c r="V90" s="1601"/>
      <c r="Y90" s="2153"/>
      <c r="Z90" s="2153"/>
    </row>
    <row r="91" spans="1:26" s="61" customFormat="1" ht="12" customHeight="1">
      <c r="A91" s="61" t="s">
        <v>415</v>
      </c>
      <c r="B91" s="61" t="s">
        <v>706</v>
      </c>
      <c r="C91" s="62">
        <v>40642</v>
      </c>
      <c r="D91" s="62">
        <v>40649</v>
      </c>
      <c r="E91" s="61" t="s">
        <v>411</v>
      </c>
      <c r="G91" s="802">
        <v>78690</v>
      </c>
      <c r="H91" s="61" t="s">
        <v>707</v>
      </c>
      <c r="I91" s="61" t="s">
        <v>23</v>
      </c>
      <c r="J91" s="61" t="s">
        <v>19</v>
      </c>
      <c r="K91" s="61" t="s">
        <v>412</v>
      </c>
      <c r="L91" s="61" t="s">
        <v>414</v>
      </c>
      <c r="N91" s="63"/>
      <c r="O91" s="1022">
        <f>790+21</f>
        <v>811</v>
      </c>
      <c r="Q91" s="61" t="s">
        <v>708</v>
      </c>
      <c r="R91" s="882">
        <v>1</v>
      </c>
      <c r="S91" s="802">
        <v>6</v>
      </c>
      <c r="T91" s="802">
        <v>1</v>
      </c>
      <c r="U91" s="1836">
        <v>197</v>
      </c>
      <c r="V91" s="1601"/>
      <c r="Y91" s="2153"/>
      <c r="Z91" s="2153"/>
    </row>
    <row r="92" spans="1:26" s="61" customFormat="1" ht="12" customHeight="1">
      <c r="A92" s="61" t="s">
        <v>737</v>
      </c>
      <c r="B92" s="61" t="s">
        <v>738</v>
      </c>
      <c r="C92" s="62">
        <v>40649</v>
      </c>
      <c r="D92" s="62">
        <v>40656</v>
      </c>
      <c r="E92" s="61" t="s">
        <v>739</v>
      </c>
      <c r="G92" s="802">
        <v>8200</v>
      </c>
      <c r="H92" s="61" t="s">
        <v>740</v>
      </c>
      <c r="I92" s="61" t="s">
        <v>23</v>
      </c>
      <c r="J92" s="61" t="s">
        <v>19</v>
      </c>
      <c r="K92" s="61" t="s">
        <v>741</v>
      </c>
      <c r="L92" s="61" t="s">
        <v>742</v>
      </c>
      <c r="N92" s="63" t="s">
        <v>743</v>
      </c>
      <c r="O92" s="1022">
        <v>790</v>
      </c>
      <c r="Q92" s="61" t="s">
        <v>744</v>
      </c>
      <c r="R92" s="882">
        <v>1</v>
      </c>
      <c r="S92" s="802">
        <v>7</v>
      </c>
      <c r="T92" s="802">
        <v>0</v>
      </c>
      <c r="U92" s="1836">
        <v>198</v>
      </c>
      <c r="V92" s="1601"/>
      <c r="Y92" s="2153"/>
      <c r="Z92" s="2153"/>
    </row>
    <row r="93" spans="1:26" s="61" customFormat="1" ht="12" customHeight="1">
      <c r="A93" s="61" t="s">
        <v>685</v>
      </c>
      <c r="B93" s="61" t="s">
        <v>32</v>
      </c>
      <c r="C93" s="62">
        <v>40663</v>
      </c>
      <c r="D93" s="62">
        <v>40670</v>
      </c>
      <c r="E93" s="61" t="s">
        <v>686</v>
      </c>
      <c r="G93" s="802">
        <v>63450</v>
      </c>
      <c r="H93" s="61" t="s">
        <v>687</v>
      </c>
      <c r="I93" s="61" t="s">
        <v>23</v>
      </c>
      <c r="J93" s="61" t="s">
        <v>19</v>
      </c>
      <c r="K93" s="61" t="s">
        <v>688</v>
      </c>
      <c r="L93" s="61" t="s">
        <v>689</v>
      </c>
      <c r="N93" s="63" t="s">
        <v>690</v>
      </c>
      <c r="O93" s="1022">
        <f>790+70</f>
        <v>860</v>
      </c>
      <c r="Q93" s="61" t="s">
        <v>691</v>
      </c>
      <c r="R93" s="882">
        <v>1</v>
      </c>
      <c r="S93" s="802">
        <v>3</v>
      </c>
      <c r="T93" s="802">
        <v>0</v>
      </c>
      <c r="U93" s="1836">
        <v>198</v>
      </c>
      <c r="V93" s="1601"/>
      <c r="Y93" s="2153"/>
      <c r="Z93" s="2153"/>
    </row>
    <row r="94" spans="1:26" s="61" customFormat="1" ht="12" customHeight="1">
      <c r="A94" s="61" t="s">
        <v>753</v>
      </c>
      <c r="C94" s="62">
        <v>40679</v>
      </c>
      <c r="D94" s="62">
        <v>40681</v>
      </c>
      <c r="G94" s="802"/>
      <c r="I94" s="61" t="s">
        <v>23</v>
      </c>
      <c r="J94" s="61" t="s">
        <v>19</v>
      </c>
      <c r="N94" s="63"/>
      <c r="O94" s="1022">
        <v>400</v>
      </c>
      <c r="R94" s="882">
        <v>1</v>
      </c>
      <c r="S94" s="802">
        <v>4</v>
      </c>
      <c r="T94" s="802">
        <v>0</v>
      </c>
      <c r="U94" s="1836">
        <v>400</v>
      </c>
      <c r="V94" s="1601"/>
      <c r="Y94" s="2153"/>
      <c r="Z94" s="2153"/>
    </row>
    <row r="95" spans="1:26" s="61" customFormat="1" ht="12" customHeight="1">
      <c r="A95" s="61" t="s">
        <v>601</v>
      </c>
      <c r="B95" s="61" t="s">
        <v>347</v>
      </c>
      <c r="C95" s="62">
        <v>40690</v>
      </c>
      <c r="D95" s="62">
        <v>40698</v>
      </c>
      <c r="E95" s="61" t="s">
        <v>348</v>
      </c>
      <c r="G95" s="802" t="s">
        <v>349</v>
      </c>
      <c r="H95" s="61" t="s">
        <v>350</v>
      </c>
      <c r="I95" s="61" t="s">
        <v>54</v>
      </c>
      <c r="J95" s="61" t="s">
        <v>19</v>
      </c>
      <c r="L95" s="61" t="s">
        <v>351</v>
      </c>
      <c r="N95" s="63" t="s">
        <v>352</v>
      </c>
      <c r="O95" s="1022">
        <f>890+70</f>
        <v>960</v>
      </c>
      <c r="Q95" s="61" t="s">
        <v>766</v>
      </c>
      <c r="R95" s="882">
        <v>1</v>
      </c>
      <c r="S95" s="802">
        <v>6</v>
      </c>
      <c r="T95" s="802">
        <v>1</v>
      </c>
      <c r="U95" s="1836">
        <v>222.5</v>
      </c>
      <c r="V95" s="1601"/>
      <c r="Y95" s="2153"/>
      <c r="Z95" s="2153"/>
    </row>
    <row r="96" spans="1:26" s="67" customFormat="1" ht="12" customHeight="1">
      <c r="A96" s="67" t="s">
        <v>681</v>
      </c>
      <c r="B96" s="67" t="s">
        <v>682</v>
      </c>
      <c r="C96" s="68">
        <v>40705</v>
      </c>
      <c r="D96" s="68">
        <v>40719</v>
      </c>
      <c r="E96" s="67" t="s">
        <v>678</v>
      </c>
      <c r="G96" s="803" t="s">
        <v>680</v>
      </c>
      <c r="H96" s="67" t="s">
        <v>679</v>
      </c>
      <c r="I96" s="67" t="s">
        <v>18</v>
      </c>
      <c r="J96" s="67" t="s">
        <v>51</v>
      </c>
      <c r="L96" s="67" t="s">
        <v>684</v>
      </c>
      <c r="N96" s="69" t="s">
        <v>683</v>
      </c>
      <c r="O96" s="1023">
        <v>570</v>
      </c>
      <c r="Q96" s="67" t="s">
        <v>752</v>
      </c>
      <c r="R96" s="883">
        <v>0</v>
      </c>
      <c r="S96" s="803">
        <v>6</v>
      </c>
      <c r="T96" s="803">
        <v>2</v>
      </c>
      <c r="U96" s="1837">
        <v>570</v>
      </c>
      <c r="V96" s="94"/>
      <c r="Y96" s="2154"/>
      <c r="Z96" s="2154"/>
    </row>
    <row r="97" spans="1:26" s="61" customFormat="1" ht="12" customHeight="1">
      <c r="A97" s="61" t="s">
        <v>755</v>
      </c>
      <c r="B97" s="61" t="s">
        <v>756</v>
      </c>
      <c r="C97" s="62">
        <v>40705</v>
      </c>
      <c r="D97" s="62">
        <v>40719</v>
      </c>
      <c r="E97" s="61" t="s">
        <v>757</v>
      </c>
      <c r="G97" s="802" t="s">
        <v>758</v>
      </c>
      <c r="H97" s="61" t="s">
        <v>759</v>
      </c>
      <c r="I97" s="61" t="s">
        <v>18</v>
      </c>
      <c r="J97" s="61" t="s">
        <v>51</v>
      </c>
      <c r="K97" s="61" t="s">
        <v>761</v>
      </c>
      <c r="N97" s="63" t="s">
        <v>760</v>
      </c>
      <c r="O97" s="1022">
        <f>1434+70</f>
        <v>1504</v>
      </c>
      <c r="Q97" s="61" t="s">
        <v>762</v>
      </c>
      <c r="R97" s="882">
        <v>1</v>
      </c>
      <c r="S97" s="802">
        <v>4</v>
      </c>
      <c r="T97" s="802">
        <v>0</v>
      </c>
      <c r="U97" s="1838">
        <v>358.5</v>
      </c>
      <c r="V97" s="1601"/>
      <c r="Y97" s="2153"/>
      <c r="Z97" s="2153"/>
    </row>
    <row r="98" spans="1:26" s="61" customFormat="1" ht="12" customHeight="1">
      <c r="A98" s="61" t="s">
        <v>769</v>
      </c>
      <c r="B98" s="61" t="s">
        <v>768</v>
      </c>
      <c r="C98" s="62">
        <v>40719</v>
      </c>
      <c r="D98" s="62">
        <v>40727</v>
      </c>
      <c r="G98" s="802"/>
      <c r="I98" s="61" t="s">
        <v>103</v>
      </c>
      <c r="J98" s="61" t="s">
        <v>19</v>
      </c>
      <c r="N98" s="63"/>
      <c r="O98" s="1022">
        <v>500</v>
      </c>
      <c r="Q98" s="61" t="s">
        <v>770</v>
      </c>
      <c r="R98" s="882">
        <v>1</v>
      </c>
      <c r="S98" s="802">
        <v>4</v>
      </c>
      <c r="T98" s="802">
        <v>0</v>
      </c>
      <c r="U98" s="1838">
        <v>0</v>
      </c>
      <c r="V98" s="1601"/>
      <c r="Y98" s="2153"/>
      <c r="Z98" s="2153"/>
    </row>
    <row r="99" spans="1:26" s="61" customFormat="1" ht="12" customHeight="1">
      <c r="A99" s="61" t="s">
        <v>745</v>
      </c>
      <c r="B99" s="61" t="s">
        <v>746</v>
      </c>
      <c r="C99" s="62">
        <v>40727</v>
      </c>
      <c r="D99" s="62">
        <v>40740</v>
      </c>
      <c r="E99" s="61" t="s">
        <v>747</v>
      </c>
      <c r="G99" s="802" t="s">
        <v>748</v>
      </c>
      <c r="H99" s="61" t="s">
        <v>456</v>
      </c>
      <c r="I99" s="61" t="s">
        <v>168</v>
      </c>
      <c r="J99" s="61" t="s">
        <v>19</v>
      </c>
      <c r="K99" s="61" t="s">
        <v>750</v>
      </c>
      <c r="L99" s="61" t="s">
        <v>749</v>
      </c>
      <c r="N99" s="107"/>
      <c r="O99" s="1022">
        <v>2480</v>
      </c>
      <c r="Q99" s="61" t="s">
        <v>779</v>
      </c>
      <c r="R99" s="882">
        <v>2</v>
      </c>
      <c r="S99" s="802">
        <v>3</v>
      </c>
      <c r="T99" s="802">
        <v>1</v>
      </c>
      <c r="U99" s="1836">
        <f>O99/4</f>
        <v>620</v>
      </c>
      <c r="V99" s="1601"/>
      <c r="Y99" s="2153"/>
      <c r="Z99" s="2153"/>
    </row>
    <row r="100" spans="1:26" s="61" customFormat="1" ht="12" customHeight="1">
      <c r="A100" s="61" t="s">
        <v>692</v>
      </c>
      <c r="B100" s="61" t="s">
        <v>693</v>
      </c>
      <c r="C100" s="62">
        <v>40740</v>
      </c>
      <c r="D100" s="62">
        <v>40754</v>
      </c>
      <c r="E100" s="61" t="s">
        <v>694</v>
      </c>
      <c r="G100" s="802">
        <v>4054</v>
      </c>
      <c r="H100" s="61" t="s">
        <v>695</v>
      </c>
      <c r="I100" s="61" t="s">
        <v>168</v>
      </c>
      <c r="J100" s="61" t="s">
        <v>19</v>
      </c>
      <c r="K100" s="61" t="s">
        <v>696</v>
      </c>
      <c r="L100" s="61" t="s">
        <v>697</v>
      </c>
      <c r="N100" s="63"/>
      <c r="O100" s="1022">
        <f>1790+2000+70</f>
        <v>3860</v>
      </c>
      <c r="Q100" s="61" t="s">
        <v>699</v>
      </c>
      <c r="R100" s="882">
        <v>2</v>
      </c>
      <c r="S100" s="802">
        <v>5</v>
      </c>
      <c r="T100" s="802">
        <v>0</v>
      </c>
      <c r="U100" s="1836">
        <f>3790/4</f>
        <v>947.5</v>
      </c>
      <c r="V100" s="1601"/>
      <c r="Y100" s="2153"/>
      <c r="Z100" s="2153"/>
    </row>
    <row r="101" spans="1:26" s="21" customFormat="1" ht="12" customHeight="1">
      <c r="A101" s="21" t="s">
        <v>722</v>
      </c>
      <c r="B101" s="21" t="s">
        <v>723</v>
      </c>
      <c r="C101" s="30">
        <v>40754</v>
      </c>
      <c r="D101" s="30">
        <v>40761</v>
      </c>
      <c r="E101" s="21" t="s">
        <v>724</v>
      </c>
      <c r="G101" s="764">
        <v>8597</v>
      </c>
      <c r="H101" s="21" t="s">
        <v>725</v>
      </c>
      <c r="I101" s="21" t="s">
        <v>168</v>
      </c>
      <c r="J101" s="21" t="s">
        <v>19</v>
      </c>
      <c r="L101" s="21" t="s">
        <v>726</v>
      </c>
      <c r="N101" s="50" t="s">
        <v>727</v>
      </c>
      <c r="O101" s="1013">
        <f>2000+70+20</f>
        <v>2090</v>
      </c>
      <c r="Q101" s="21" t="s">
        <v>728</v>
      </c>
      <c r="R101" s="876">
        <v>1</v>
      </c>
      <c r="S101" s="764">
        <v>4</v>
      </c>
      <c r="T101" s="764">
        <v>1</v>
      </c>
      <c r="U101" s="1820">
        <v>500</v>
      </c>
      <c r="V101" s="78"/>
      <c r="Y101" s="2150"/>
      <c r="Z101" s="2150"/>
    </row>
    <row r="102" spans="1:26" s="21" customFormat="1" ht="12" customHeight="1">
      <c r="A102" s="21" t="s">
        <v>729</v>
      </c>
      <c r="B102" s="21" t="s">
        <v>730</v>
      </c>
      <c r="C102" s="30">
        <v>40775</v>
      </c>
      <c r="D102" s="30">
        <v>40789</v>
      </c>
      <c r="E102" s="21" t="s">
        <v>732</v>
      </c>
      <c r="G102" s="764">
        <v>54000</v>
      </c>
      <c r="H102" s="21" t="s">
        <v>733</v>
      </c>
      <c r="I102" s="21" t="s">
        <v>23</v>
      </c>
      <c r="J102" s="21" t="s">
        <v>19</v>
      </c>
      <c r="K102" s="21" t="s">
        <v>734</v>
      </c>
      <c r="L102" s="21" t="s">
        <v>735</v>
      </c>
      <c r="N102" s="50" t="s">
        <v>731</v>
      </c>
      <c r="O102" s="1013">
        <f>1590+1390</f>
        <v>2980</v>
      </c>
      <c r="Q102" s="21" t="s">
        <v>736</v>
      </c>
      <c r="R102" s="876">
        <v>2</v>
      </c>
      <c r="S102" s="764">
        <v>4</v>
      </c>
      <c r="T102" s="764"/>
      <c r="U102" s="1820">
        <v>745</v>
      </c>
      <c r="V102" s="78"/>
      <c r="Y102" s="2150"/>
      <c r="Z102" s="2150"/>
    </row>
    <row r="103" spans="1:26" s="21" customFormat="1" ht="12" customHeight="1">
      <c r="A103" s="21" t="s">
        <v>718</v>
      </c>
      <c r="B103" s="21" t="s">
        <v>328</v>
      </c>
      <c r="C103" s="30">
        <v>40789</v>
      </c>
      <c r="D103" s="30">
        <v>40803</v>
      </c>
      <c r="E103" s="21" t="s">
        <v>719</v>
      </c>
      <c r="G103" s="764">
        <v>40213</v>
      </c>
      <c r="H103" s="21" t="s">
        <v>720</v>
      </c>
      <c r="I103" s="21" t="s">
        <v>18</v>
      </c>
      <c r="J103" s="21" t="s">
        <v>51</v>
      </c>
      <c r="K103" s="21" t="s">
        <v>763</v>
      </c>
      <c r="N103" s="50"/>
      <c r="O103" s="1013">
        <f>2480+70</f>
        <v>2550</v>
      </c>
      <c r="Q103" s="21" t="s">
        <v>199</v>
      </c>
      <c r="R103" s="876">
        <v>2</v>
      </c>
      <c r="S103" s="764">
        <v>2</v>
      </c>
      <c r="T103" s="764">
        <v>2</v>
      </c>
      <c r="U103" s="1820">
        <v>620</v>
      </c>
      <c r="V103" s="78"/>
      <c r="Y103" s="2150"/>
      <c r="Z103" s="2150"/>
    </row>
    <row r="104" spans="1:26" s="21" customFormat="1" ht="12" customHeight="1">
      <c r="A104" s="21" t="s">
        <v>765</v>
      </c>
      <c r="B104" s="21" t="s">
        <v>511</v>
      </c>
      <c r="C104" s="30">
        <v>40803</v>
      </c>
      <c r="D104" s="30">
        <v>40817</v>
      </c>
      <c r="G104" s="764"/>
      <c r="I104" s="21" t="s">
        <v>18</v>
      </c>
      <c r="J104" s="21" t="s">
        <v>51</v>
      </c>
      <c r="N104" s="50" t="s">
        <v>764</v>
      </c>
      <c r="O104" s="1013">
        <f>990+1090+70</f>
        <v>2150</v>
      </c>
      <c r="Q104" s="21" t="s">
        <v>199</v>
      </c>
      <c r="R104" s="876">
        <v>2</v>
      </c>
      <c r="S104" s="764">
        <v>2</v>
      </c>
      <c r="T104" s="764">
        <v>0</v>
      </c>
      <c r="U104" s="1820">
        <f>O104/4</f>
        <v>537.5</v>
      </c>
      <c r="V104" s="78"/>
      <c r="Y104" s="2150"/>
      <c r="Z104" s="2150"/>
    </row>
    <row r="105" spans="1:26" s="21" customFormat="1" ht="12" customHeight="1">
      <c r="A105" s="21" t="s">
        <v>176</v>
      </c>
      <c r="B105" s="21" t="s">
        <v>177</v>
      </c>
      <c r="C105" s="30">
        <v>40827</v>
      </c>
      <c r="D105" s="30">
        <v>40866</v>
      </c>
      <c r="E105" s="21" t="s">
        <v>175</v>
      </c>
      <c r="G105" s="764">
        <v>41000</v>
      </c>
      <c r="H105" s="21" t="s">
        <v>178</v>
      </c>
      <c r="I105" s="21" t="s">
        <v>23</v>
      </c>
      <c r="J105" s="21" t="s">
        <v>19</v>
      </c>
      <c r="K105" s="21" t="s">
        <v>792</v>
      </c>
      <c r="L105" s="21" t="s">
        <v>808</v>
      </c>
      <c r="N105" s="50"/>
      <c r="O105" s="1013">
        <f>690+70</f>
        <v>760</v>
      </c>
      <c r="Q105" s="21" t="s">
        <v>674</v>
      </c>
      <c r="R105" s="876">
        <v>1</v>
      </c>
      <c r="S105" s="764">
        <v>4</v>
      </c>
      <c r="T105" s="764"/>
      <c r="U105" s="1820">
        <v>172.5</v>
      </c>
      <c r="V105" s="78"/>
      <c r="Y105" s="2150"/>
      <c r="Z105" s="2150"/>
    </row>
    <row r="106" spans="1:26" s="21" customFormat="1" ht="12" customHeight="1">
      <c r="A106" s="21" t="s">
        <v>780</v>
      </c>
      <c r="B106" s="21" t="s">
        <v>781</v>
      </c>
      <c r="C106" s="30">
        <v>40835</v>
      </c>
      <c r="D106" s="30">
        <v>40848</v>
      </c>
      <c r="E106" s="21" t="s">
        <v>782</v>
      </c>
      <c r="G106" s="764">
        <v>57200</v>
      </c>
      <c r="H106" s="21" t="s">
        <v>783</v>
      </c>
      <c r="I106" s="21" t="s">
        <v>23</v>
      </c>
      <c r="J106" s="21" t="s">
        <v>19</v>
      </c>
      <c r="L106" s="21" t="s">
        <v>809</v>
      </c>
      <c r="N106" s="50" t="s">
        <v>784</v>
      </c>
      <c r="O106" s="1013">
        <f>600+600</f>
        <v>1200</v>
      </c>
      <c r="Q106" s="21" t="s">
        <v>199</v>
      </c>
      <c r="R106" s="876">
        <v>2</v>
      </c>
      <c r="S106" s="764">
        <v>2</v>
      </c>
      <c r="T106" s="764">
        <v>2</v>
      </c>
      <c r="U106" s="1820">
        <v>300</v>
      </c>
      <c r="V106" s="78"/>
      <c r="Y106" s="2150"/>
      <c r="Z106" s="2150"/>
    </row>
    <row r="107" spans="1:26" s="67" customFormat="1" ht="12" customHeight="1">
      <c r="A107" s="67" t="s">
        <v>793</v>
      </c>
      <c r="B107" s="67" t="s">
        <v>794</v>
      </c>
      <c r="C107" s="68">
        <v>40852</v>
      </c>
      <c r="D107" s="68">
        <v>40859</v>
      </c>
      <c r="E107" s="67" t="s">
        <v>795</v>
      </c>
      <c r="G107" s="803" t="s">
        <v>796</v>
      </c>
      <c r="H107" s="67" t="s">
        <v>797</v>
      </c>
      <c r="I107" s="67" t="s">
        <v>168</v>
      </c>
      <c r="J107" s="67" t="s">
        <v>19</v>
      </c>
      <c r="K107" s="67" t="s">
        <v>798</v>
      </c>
      <c r="L107" s="67" t="s">
        <v>799</v>
      </c>
      <c r="N107" s="69" t="s">
        <v>800</v>
      </c>
      <c r="O107" s="1023">
        <f>690</f>
        <v>690</v>
      </c>
      <c r="Q107" s="67" t="s">
        <v>199</v>
      </c>
      <c r="R107" s="883">
        <v>1</v>
      </c>
      <c r="S107" s="803">
        <v>2</v>
      </c>
      <c r="T107" s="803"/>
      <c r="U107" s="1839">
        <v>180</v>
      </c>
      <c r="V107" s="94"/>
      <c r="Y107" s="2154"/>
      <c r="Z107" s="2154"/>
    </row>
    <row r="108" spans="1:26" s="21" customFormat="1" ht="12" customHeight="1">
      <c r="A108" s="21" t="s">
        <v>810</v>
      </c>
      <c r="B108" s="21" t="s">
        <v>24</v>
      </c>
      <c r="C108" s="30">
        <v>40902</v>
      </c>
      <c r="D108" s="30">
        <v>40909</v>
      </c>
      <c r="G108" s="764"/>
      <c r="H108" s="21" t="s">
        <v>814</v>
      </c>
      <c r="I108" s="21" t="s">
        <v>18</v>
      </c>
      <c r="J108" s="21" t="s">
        <v>51</v>
      </c>
      <c r="K108" s="21" t="s">
        <v>811</v>
      </c>
      <c r="L108" s="21" t="s">
        <v>812</v>
      </c>
      <c r="N108" s="50" t="s">
        <v>815</v>
      </c>
      <c r="O108" s="1013">
        <f>1050+42+70</f>
        <v>1162</v>
      </c>
      <c r="Q108" s="21" t="s">
        <v>813</v>
      </c>
      <c r="R108" s="876">
        <v>1</v>
      </c>
      <c r="S108" s="764">
        <v>2</v>
      </c>
      <c r="T108" s="764">
        <v>2</v>
      </c>
      <c r="U108" s="1840">
        <v>290.5</v>
      </c>
      <c r="V108" s="78"/>
      <c r="Y108" s="2150"/>
      <c r="Z108" s="2150"/>
    </row>
    <row r="109" spans="1:26" ht="12" customHeight="1" thickBot="1">
      <c r="A109" s="7"/>
      <c r="B109" s="773"/>
      <c r="C109" s="29"/>
      <c r="D109" s="29"/>
      <c r="F109" s="7"/>
      <c r="G109" s="133"/>
      <c r="H109" s="7"/>
      <c r="I109" s="7"/>
      <c r="J109" s="7"/>
      <c r="K109" s="7"/>
      <c r="L109" s="7"/>
      <c r="M109" s="7"/>
      <c r="N109" s="7"/>
      <c r="O109" s="1012"/>
      <c r="P109" s="7"/>
      <c r="S109" s="133"/>
      <c r="T109" s="133"/>
      <c r="U109" s="1819"/>
    </row>
    <row r="110" spans="1:26" ht="12" customHeight="1" thickBot="1">
      <c r="A110" s="18" t="s">
        <v>676</v>
      </c>
      <c r="B110" s="767">
        <f>SUM(O89:O110)</f>
        <v>27909</v>
      </c>
      <c r="C110" s="804">
        <f>B110/B77</f>
        <v>1.0604932173120036</v>
      </c>
      <c r="D110" s="791" t="s">
        <v>574</v>
      </c>
      <c r="E110" s="782"/>
      <c r="F110" s="7"/>
      <c r="G110" s="133"/>
      <c r="H110" s="7"/>
      <c r="I110" s="7"/>
      <c r="J110" s="7"/>
      <c r="K110" s="7"/>
      <c r="L110" s="7"/>
      <c r="M110" s="7"/>
      <c r="N110" s="7"/>
      <c r="O110" s="1012"/>
      <c r="P110" s="7"/>
      <c r="S110" s="133"/>
      <c r="T110" s="133"/>
      <c r="U110" s="1819"/>
    </row>
    <row r="111" spans="1:26" ht="12" customHeight="1" thickBot="1">
      <c r="A111" s="768" t="s">
        <v>463</v>
      </c>
      <c r="B111" s="769">
        <f>SUM(R78:R110)</f>
        <v>25</v>
      </c>
      <c r="C111" s="783">
        <f>B110/B111</f>
        <v>1116.3599999999999</v>
      </c>
      <c r="D111" s="17" t="s">
        <v>575</v>
      </c>
      <c r="E111" s="13"/>
      <c r="F111" s="7"/>
      <c r="G111" s="133"/>
      <c r="H111" s="7"/>
      <c r="I111" s="7"/>
      <c r="J111" s="7"/>
      <c r="K111" s="7"/>
      <c r="L111" s="7"/>
      <c r="M111" s="7"/>
      <c r="N111" s="7"/>
      <c r="O111" s="1012" t="s">
        <v>771</v>
      </c>
      <c r="P111" s="7"/>
      <c r="S111" s="133"/>
      <c r="T111" s="133"/>
      <c r="U111" s="1819"/>
    </row>
    <row r="112" spans="1:26" ht="12" customHeight="1" thickBot="1">
      <c r="A112" s="7"/>
      <c r="B112" s="7"/>
      <c r="C112" s="29"/>
      <c r="D112" s="17" t="s">
        <v>576</v>
      </c>
      <c r="E112" s="13"/>
      <c r="F112" s="7"/>
      <c r="G112" s="133"/>
      <c r="H112" s="7"/>
      <c r="I112" s="7"/>
      <c r="J112" s="7"/>
      <c r="K112" s="7"/>
      <c r="L112" s="7"/>
      <c r="M112" s="7"/>
      <c r="N112" s="7"/>
      <c r="O112" s="1012"/>
      <c r="P112" s="7"/>
      <c r="S112" s="133"/>
      <c r="T112" s="133"/>
      <c r="U112" s="1819"/>
    </row>
    <row r="113" spans="1:26" ht="12" customHeight="1" thickBot="1">
      <c r="A113" s="771" t="s">
        <v>464</v>
      </c>
      <c r="B113" s="772">
        <f>1577.94*12</f>
        <v>18935.28</v>
      </c>
      <c r="C113" s="29"/>
      <c r="D113" s="17" t="s">
        <v>677</v>
      </c>
      <c r="E113" s="13"/>
      <c r="F113" s="7"/>
      <c r="G113" s="133"/>
      <c r="H113" s="7"/>
      <c r="I113" s="7"/>
      <c r="J113" s="7"/>
      <c r="K113" s="7"/>
      <c r="L113" s="7"/>
      <c r="M113" s="7"/>
      <c r="N113" s="7"/>
      <c r="O113" s="1012"/>
      <c r="P113" s="7"/>
      <c r="S113" s="133"/>
      <c r="T113" s="133"/>
      <c r="U113" s="1819"/>
    </row>
    <row r="114" spans="1:26" ht="12" customHeight="1" thickBot="1">
      <c r="A114" s="7"/>
      <c r="B114" s="7"/>
      <c r="C114" s="29"/>
      <c r="D114" s="17" t="s">
        <v>577</v>
      </c>
      <c r="E114" s="13"/>
      <c r="F114" s="7"/>
      <c r="G114" s="133"/>
      <c r="H114" s="7"/>
      <c r="I114" s="7"/>
      <c r="J114" s="7"/>
      <c r="K114" s="7">
        <f>290.5*4-70-42</f>
        <v>1050</v>
      </c>
      <c r="L114" s="7"/>
      <c r="M114" s="7"/>
      <c r="N114" s="7"/>
      <c r="O114" s="1012">
        <f>1190+1290</f>
        <v>2480</v>
      </c>
      <c r="P114" s="7"/>
      <c r="S114" s="133"/>
      <c r="T114" s="133"/>
      <c r="U114" s="1819"/>
    </row>
    <row r="115" spans="1:26" ht="12" customHeight="1" thickBot="1">
      <c r="A115" s="18" t="s">
        <v>465</v>
      </c>
      <c r="B115" s="799">
        <f>B110-B113-E116</f>
        <v>8973.7200000000012</v>
      </c>
      <c r="C115" s="29"/>
      <c r="D115" s="786" t="s">
        <v>578</v>
      </c>
      <c r="E115" s="541"/>
      <c r="F115" s="7"/>
      <c r="G115" s="133"/>
      <c r="H115" s="7"/>
      <c r="I115" s="7"/>
      <c r="J115" s="7"/>
      <c r="K115" s="7"/>
      <c r="L115" s="773"/>
      <c r="M115" s="7"/>
      <c r="N115" s="7"/>
      <c r="O115" s="1012"/>
      <c r="P115" s="7"/>
      <c r="S115" s="133"/>
      <c r="T115" s="133"/>
      <c r="U115" s="1819"/>
    </row>
    <row r="116" spans="1:26" ht="12" customHeight="1" thickBot="1">
      <c r="A116" s="768" t="s">
        <v>466</v>
      </c>
      <c r="B116" s="800">
        <f>B110/12</f>
        <v>2325.75</v>
      </c>
      <c r="C116" s="29"/>
      <c r="D116" s="801" t="s">
        <v>585</v>
      </c>
      <c r="E116" s="789">
        <f>SUM(E111:E115)</f>
        <v>0</v>
      </c>
      <c r="F116" s="7"/>
      <c r="G116" s="133"/>
      <c r="H116" s="7"/>
      <c r="I116" s="7"/>
      <c r="J116" s="7"/>
      <c r="K116" s="7"/>
      <c r="L116" s="7"/>
      <c r="M116" s="7"/>
      <c r="N116" s="7"/>
      <c r="O116" s="1012"/>
      <c r="P116" s="7"/>
      <c r="S116" s="133"/>
      <c r="T116" s="133">
        <f>O100-U100</f>
        <v>2912.5</v>
      </c>
      <c r="U116" s="1819"/>
    </row>
    <row r="117" spans="1:26" ht="12" customHeight="1">
      <c r="A117" s="7"/>
      <c r="B117" s="773"/>
      <c r="C117" s="29"/>
      <c r="D117" s="29"/>
      <c r="E117" s="7"/>
      <c r="F117" s="7"/>
      <c r="G117" s="133"/>
      <c r="H117" s="7"/>
      <c r="I117" s="7"/>
      <c r="J117" s="7"/>
      <c r="K117" s="7"/>
      <c r="L117" s="7"/>
      <c r="M117" s="7"/>
      <c r="N117" s="7"/>
      <c r="O117" s="1012"/>
      <c r="P117" s="7"/>
      <c r="S117" s="133"/>
      <c r="T117" s="133"/>
      <c r="U117" s="1819"/>
    </row>
    <row r="118" spans="1:26" ht="12" customHeight="1">
      <c r="A118" s="7"/>
      <c r="B118" s="773"/>
      <c r="C118" s="29"/>
      <c r="D118" s="29"/>
      <c r="E118" s="7"/>
      <c r="F118" s="7"/>
      <c r="G118" s="133"/>
      <c r="H118" s="7"/>
      <c r="I118" s="7"/>
      <c r="J118" s="7"/>
      <c r="K118" s="7"/>
      <c r="L118" s="7"/>
      <c r="M118" s="7"/>
      <c r="N118" s="7"/>
      <c r="O118" s="1012"/>
      <c r="P118" s="7"/>
      <c r="S118" s="133"/>
      <c r="T118" s="133"/>
      <c r="U118" s="1819"/>
    </row>
    <row r="119" spans="1:26" ht="12" customHeight="1">
      <c r="A119" s="7"/>
      <c r="B119" s="773"/>
      <c r="C119" s="29"/>
      <c r="D119" s="29"/>
      <c r="E119" s="7"/>
      <c r="F119" s="7"/>
      <c r="G119" s="133"/>
      <c r="H119" s="7"/>
      <c r="I119" s="7"/>
      <c r="J119" s="7"/>
      <c r="K119" s="7"/>
      <c r="L119" s="7"/>
      <c r="M119" s="7"/>
      <c r="N119" s="7"/>
      <c r="O119" s="1012"/>
      <c r="P119" s="7"/>
      <c r="S119" s="133"/>
      <c r="T119" s="133"/>
      <c r="U119" s="1819"/>
    </row>
    <row r="120" spans="1:26" ht="12" customHeight="1">
      <c r="A120" s="9" t="s">
        <v>826</v>
      </c>
      <c r="B120" s="773"/>
      <c r="C120" s="29"/>
      <c r="D120" s="29"/>
      <c r="E120" s="7"/>
      <c r="F120" s="7"/>
      <c r="G120" s="133"/>
      <c r="H120" s="7"/>
      <c r="I120" s="7"/>
      <c r="J120" s="7"/>
      <c r="K120" s="7"/>
      <c r="L120" s="7"/>
      <c r="M120" s="7"/>
      <c r="N120" s="7"/>
      <c r="O120" s="1012"/>
      <c r="P120" s="7"/>
      <c r="S120" s="133"/>
      <c r="T120" s="133"/>
      <c r="U120" s="1819"/>
    </row>
    <row r="121" spans="1:26" s="21" customFormat="1" ht="12" customHeight="1">
      <c r="A121" s="21" t="s">
        <v>873</v>
      </c>
      <c r="B121" s="21" t="s">
        <v>874</v>
      </c>
      <c r="C121" s="30">
        <v>40978</v>
      </c>
      <c r="D121" s="30">
        <v>40985</v>
      </c>
      <c r="E121" s="21" t="s">
        <v>888</v>
      </c>
      <c r="G121" s="764">
        <v>76190</v>
      </c>
      <c r="H121" s="21" t="s">
        <v>889</v>
      </c>
      <c r="I121" s="21" t="s">
        <v>23</v>
      </c>
      <c r="J121" s="21" t="s">
        <v>19</v>
      </c>
      <c r="K121" s="21" t="s">
        <v>891</v>
      </c>
      <c r="L121" s="21" t="s">
        <v>890</v>
      </c>
      <c r="N121" s="50"/>
      <c r="O121" s="1013">
        <v>690</v>
      </c>
      <c r="R121" s="876">
        <v>1</v>
      </c>
      <c r="S121" s="764" t="s">
        <v>353</v>
      </c>
      <c r="T121" s="764">
        <v>0</v>
      </c>
      <c r="U121" s="1841">
        <v>172.25</v>
      </c>
      <c r="V121" s="78">
        <f>O121-U121</f>
        <v>517.75</v>
      </c>
      <c r="W121" s="21" t="s">
        <v>872</v>
      </c>
      <c r="Y121" s="2150"/>
      <c r="Z121" s="2150"/>
    </row>
    <row r="122" spans="1:26" s="21" customFormat="1" ht="12" customHeight="1">
      <c r="A122" s="21" t="s">
        <v>486</v>
      </c>
      <c r="B122" s="21" t="s">
        <v>487</v>
      </c>
      <c r="C122" s="30">
        <v>40985</v>
      </c>
      <c r="D122" s="30">
        <v>40992</v>
      </c>
      <c r="E122" s="21" t="s">
        <v>488</v>
      </c>
      <c r="G122" s="764">
        <v>95130</v>
      </c>
      <c r="H122" s="21" t="s">
        <v>489</v>
      </c>
      <c r="I122" s="21" t="s">
        <v>23</v>
      </c>
      <c r="J122" s="21" t="s">
        <v>19</v>
      </c>
      <c r="K122" s="21" t="s">
        <v>490</v>
      </c>
      <c r="L122" s="21" t="s">
        <v>491</v>
      </c>
      <c r="N122" s="50" t="s">
        <v>492</v>
      </c>
      <c r="O122" s="1013">
        <v>690</v>
      </c>
      <c r="R122" s="876">
        <v>1</v>
      </c>
      <c r="S122" s="764">
        <v>4</v>
      </c>
      <c r="T122" s="764">
        <v>0</v>
      </c>
      <c r="U122" s="1841">
        <f>O122/4</f>
        <v>172.5</v>
      </c>
      <c r="V122" s="78"/>
      <c r="Y122" s="2150"/>
      <c r="Z122" s="2150"/>
    </row>
    <row r="123" spans="1:26" s="21" customFormat="1" ht="12" customHeight="1">
      <c r="A123" s="21" t="s">
        <v>876</v>
      </c>
      <c r="B123" s="21" t="s">
        <v>875</v>
      </c>
      <c r="C123" s="30">
        <v>40992</v>
      </c>
      <c r="D123" s="30">
        <v>41008</v>
      </c>
      <c r="E123" s="21" t="s">
        <v>877</v>
      </c>
      <c r="G123" s="764" t="s">
        <v>878</v>
      </c>
      <c r="H123" s="21" t="s">
        <v>879</v>
      </c>
      <c r="I123" s="21" t="s">
        <v>18</v>
      </c>
      <c r="J123" s="21" t="s">
        <v>51</v>
      </c>
      <c r="K123" s="21" t="s">
        <v>929</v>
      </c>
      <c r="L123" s="21" t="s">
        <v>880</v>
      </c>
      <c r="N123" s="50" t="s">
        <v>881</v>
      </c>
      <c r="O123" s="1013">
        <f>690*2+200+70</f>
        <v>1650</v>
      </c>
      <c r="Q123" s="21" t="s">
        <v>883</v>
      </c>
      <c r="R123" s="876">
        <v>2</v>
      </c>
      <c r="S123" s="764">
        <v>4</v>
      </c>
      <c r="T123" s="764"/>
      <c r="U123" s="1841">
        <f>O123/4</f>
        <v>412.5</v>
      </c>
      <c r="V123" s="78">
        <v>40970</v>
      </c>
      <c r="Y123" s="2150"/>
      <c r="Z123" s="2150"/>
    </row>
    <row r="124" spans="1:26" s="21" customFormat="1" ht="12" customHeight="1">
      <c r="A124" s="21" t="s">
        <v>827</v>
      </c>
      <c r="B124" s="21" t="s">
        <v>99</v>
      </c>
      <c r="C124" s="30">
        <v>41020</v>
      </c>
      <c r="D124" s="30">
        <v>41027</v>
      </c>
      <c r="E124" s="21" t="s">
        <v>831</v>
      </c>
      <c r="G124" s="764">
        <v>6700</v>
      </c>
      <c r="H124" s="21" t="s">
        <v>832</v>
      </c>
      <c r="I124" s="21" t="s">
        <v>23</v>
      </c>
      <c r="J124" s="21" t="s">
        <v>19</v>
      </c>
      <c r="K124" s="21" t="s">
        <v>833</v>
      </c>
      <c r="L124" s="21" t="s">
        <v>834</v>
      </c>
      <c r="N124" s="50" t="s">
        <v>4283</v>
      </c>
      <c r="O124" s="1013">
        <v>790</v>
      </c>
      <c r="Q124" s="21" t="s">
        <v>828</v>
      </c>
      <c r="R124" s="876">
        <v>1</v>
      </c>
      <c r="S124" s="764">
        <v>6</v>
      </c>
      <c r="T124" s="764">
        <v>0</v>
      </c>
      <c r="U124" s="1841">
        <v>200</v>
      </c>
      <c r="V124" s="78"/>
      <c r="Y124" s="2150"/>
      <c r="Z124" s="2150"/>
    </row>
    <row r="125" spans="1:26" s="21" customFormat="1" ht="12" customHeight="1">
      <c r="A125" s="21" t="s">
        <v>823</v>
      </c>
      <c r="B125" s="21" t="s">
        <v>388</v>
      </c>
      <c r="C125" s="30">
        <v>41027</v>
      </c>
      <c r="D125" s="30">
        <v>41034</v>
      </c>
      <c r="G125" s="764"/>
      <c r="I125" s="21" t="s">
        <v>36</v>
      </c>
      <c r="J125" s="21" t="s">
        <v>19</v>
      </c>
      <c r="L125" s="21" t="s">
        <v>837</v>
      </c>
      <c r="N125" s="50" t="s">
        <v>825</v>
      </c>
      <c r="O125" s="1013">
        <f>790+42+70</f>
        <v>902</v>
      </c>
      <c r="Q125" s="21" t="s">
        <v>824</v>
      </c>
      <c r="R125" s="876">
        <v>1</v>
      </c>
      <c r="S125" s="764">
        <v>4</v>
      </c>
      <c r="T125" s="764">
        <v>2</v>
      </c>
      <c r="U125" s="1841">
        <v>200</v>
      </c>
      <c r="V125" s="78"/>
      <c r="W125" s="21" t="s">
        <v>824</v>
      </c>
      <c r="Y125" s="2150"/>
      <c r="Z125" s="2150"/>
    </row>
    <row r="126" spans="1:26" s="21" customFormat="1" ht="12" customHeight="1">
      <c r="A126" s="21" t="s">
        <v>882</v>
      </c>
      <c r="B126" s="21" t="s">
        <v>528</v>
      </c>
      <c r="C126" s="30">
        <v>41034</v>
      </c>
      <c r="D126" s="30">
        <v>41044</v>
      </c>
      <c r="G126" s="764"/>
      <c r="I126" s="21" t="s">
        <v>884</v>
      </c>
      <c r="J126" s="21" t="s">
        <v>51</v>
      </c>
      <c r="K126" s="21" t="s">
        <v>885</v>
      </c>
      <c r="L126" s="21" t="s">
        <v>886</v>
      </c>
      <c r="N126" s="50" t="s">
        <v>887</v>
      </c>
      <c r="O126" s="1013">
        <f>1250+2*10*3+70</f>
        <v>1380</v>
      </c>
      <c r="R126" s="876">
        <v>2</v>
      </c>
      <c r="S126" s="764">
        <v>2</v>
      </c>
      <c r="T126" s="764">
        <v>2</v>
      </c>
      <c r="U126" s="1841">
        <f>O126/4</f>
        <v>345</v>
      </c>
      <c r="V126" s="78">
        <v>40970</v>
      </c>
      <c r="W126" s="21" t="s">
        <v>791</v>
      </c>
      <c r="Y126" s="2150"/>
      <c r="Z126" s="2150"/>
    </row>
    <row r="127" spans="1:26" s="21" customFormat="1" ht="12" customHeight="1">
      <c r="A127" s="21" t="s">
        <v>846</v>
      </c>
      <c r="B127" s="21" t="s">
        <v>847</v>
      </c>
      <c r="C127" s="30">
        <v>41055</v>
      </c>
      <c r="D127" s="30">
        <v>41062</v>
      </c>
      <c r="E127" s="21" t="s">
        <v>848</v>
      </c>
      <c r="G127" s="764" t="s">
        <v>849</v>
      </c>
      <c r="H127" s="21" t="s">
        <v>850</v>
      </c>
      <c r="I127" s="21" t="s">
        <v>54</v>
      </c>
      <c r="J127" s="21" t="s">
        <v>19</v>
      </c>
      <c r="L127" s="21" t="s">
        <v>851</v>
      </c>
      <c r="N127" s="50" t="s">
        <v>852</v>
      </c>
      <c r="O127" s="1013">
        <f>890</f>
        <v>890</v>
      </c>
      <c r="Q127" s="21" t="s">
        <v>853</v>
      </c>
      <c r="R127" s="876">
        <v>1</v>
      </c>
      <c r="S127" s="764">
        <v>6</v>
      </c>
      <c r="T127" s="764"/>
      <c r="U127" s="1841">
        <v>250</v>
      </c>
      <c r="V127" s="78">
        <v>40940</v>
      </c>
      <c r="W127" s="21" t="s">
        <v>865</v>
      </c>
      <c r="Y127" s="2150"/>
      <c r="Z127" s="2150"/>
    </row>
    <row r="128" spans="1:26" s="21" customFormat="1" ht="12" customHeight="1">
      <c r="A128" s="21" t="s">
        <v>785</v>
      </c>
      <c r="B128" s="21" t="s">
        <v>830</v>
      </c>
      <c r="C128" s="30">
        <v>41062</v>
      </c>
      <c r="D128" s="30">
        <v>41083</v>
      </c>
      <c r="G128" s="764" t="s">
        <v>787</v>
      </c>
      <c r="H128" s="21" t="s">
        <v>788</v>
      </c>
      <c r="I128" s="21" t="s">
        <v>18</v>
      </c>
      <c r="J128" s="21" t="s">
        <v>51</v>
      </c>
      <c r="K128" s="21" t="s">
        <v>789</v>
      </c>
      <c r="L128" s="21" t="s">
        <v>790</v>
      </c>
      <c r="N128" s="50" t="s">
        <v>786</v>
      </c>
      <c r="O128" s="1013">
        <f>890+1090+1190+3*2*21</f>
        <v>3296</v>
      </c>
      <c r="Q128" s="21" t="s">
        <v>791</v>
      </c>
      <c r="R128" s="876">
        <v>3</v>
      </c>
      <c r="S128" s="764">
        <v>3</v>
      </c>
      <c r="T128" s="764">
        <v>2</v>
      </c>
      <c r="U128" s="1841">
        <v>792.5</v>
      </c>
      <c r="V128" s="78"/>
      <c r="W128" s="21" t="s">
        <v>791</v>
      </c>
      <c r="Y128" s="2150"/>
      <c r="Z128" s="2150"/>
    </row>
    <row r="129" spans="1:26" s="21" customFormat="1" ht="12" customHeight="1">
      <c r="A129" s="21" t="s">
        <v>867</v>
      </c>
      <c r="B129" s="21" t="s">
        <v>431</v>
      </c>
      <c r="C129" s="30">
        <v>41083</v>
      </c>
      <c r="D129" s="30">
        <v>41097</v>
      </c>
      <c r="G129" s="764"/>
      <c r="H129" s="21" t="s">
        <v>868</v>
      </c>
      <c r="I129" s="21" t="s">
        <v>18</v>
      </c>
      <c r="J129" s="21" t="s">
        <v>51</v>
      </c>
      <c r="L129" s="21" t="s">
        <v>945</v>
      </c>
      <c r="N129" s="50" t="s">
        <v>866</v>
      </c>
      <c r="O129" s="1013">
        <f>2240</f>
        <v>2240</v>
      </c>
      <c r="Q129" s="21" t="s">
        <v>791</v>
      </c>
      <c r="R129" s="876">
        <v>2</v>
      </c>
      <c r="S129" s="764">
        <v>4</v>
      </c>
      <c r="T129" s="764"/>
      <c r="U129" s="1841">
        <f>560</f>
        <v>560</v>
      </c>
      <c r="V129" s="78"/>
      <c r="W129" s="21" t="s">
        <v>791</v>
      </c>
      <c r="X129" s="21" t="s">
        <v>870</v>
      </c>
      <c r="Y129" s="2150"/>
      <c r="Z129" s="2150"/>
    </row>
    <row r="130" spans="1:26" s="21" customFormat="1" ht="12" customHeight="1">
      <c r="A130" s="21" t="s">
        <v>775</v>
      </c>
      <c r="B130" s="21" t="s">
        <v>829</v>
      </c>
      <c r="C130" s="30">
        <v>41097</v>
      </c>
      <c r="D130" s="30">
        <v>41118</v>
      </c>
      <c r="E130" s="21" t="s">
        <v>773</v>
      </c>
      <c r="G130" s="764" t="s">
        <v>774</v>
      </c>
      <c r="H130" s="21" t="s">
        <v>772</v>
      </c>
      <c r="I130" s="21" t="s">
        <v>168</v>
      </c>
      <c r="J130" s="21" t="s">
        <v>180</v>
      </c>
      <c r="L130" s="21" t="s">
        <v>777</v>
      </c>
      <c r="N130" s="50" t="s">
        <v>776</v>
      </c>
      <c r="O130" s="1013">
        <f>1390+1790+2000</f>
        <v>5180</v>
      </c>
      <c r="Q130" s="21" t="s">
        <v>778</v>
      </c>
      <c r="R130" s="876">
        <v>3</v>
      </c>
      <c r="S130" s="764">
        <v>6</v>
      </c>
      <c r="T130" s="764"/>
      <c r="U130" s="1841">
        <f>O130/4</f>
        <v>1295</v>
      </c>
      <c r="V130" s="78"/>
      <c r="Y130" s="2150"/>
      <c r="Z130" s="2150"/>
    </row>
    <row r="131" spans="1:26" s="21" customFormat="1" ht="12" customHeight="1">
      <c r="A131" s="21" t="s">
        <v>934</v>
      </c>
      <c r="B131" s="21" t="s">
        <v>935</v>
      </c>
      <c r="C131" s="30">
        <v>41118</v>
      </c>
      <c r="D131" s="30">
        <v>41139</v>
      </c>
      <c r="E131" s="21" t="s">
        <v>936</v>
      </c>
      <c r="G131" s="764">
        <v>45359</v>
      </c>
      <c r="H131" s="21" t="s">
        <v>937</v>
      </c>
      <c r="I131" s="21" t="s">
        <v>18</v>
      </c>
      <c r="J131" s="21" t="s">
        <v>51</v>
      </c>
      <c r="K131" s="21" t="s">
        <v>938</v>
      </c>
      <c r="L131" s="21" t="s">
        <v>939</v>
      </c>
      <c r="N131" s="50" t="s">
        <v>940</v>
      </c>
      <c r="O131" s="1013">
        <v>5670</v>
      </c>
      <c r="Q131" s="21" t="s">
        <v>941</v>
      </c>
      <c r="R131" s="876">
        <v>3</v>
      </c>
      <c r="S131" s="764">
        <v>4</v>
      </c>
      <c r="T131" s="764">
        <v>1</v>
      </c>
      <c r="U131" s="1820">
        <v>1417.5</v>
      </c>
      <c r="V131" s="78">
        <v>41060</v>
      </c>
      <c r="Y131" s="2150"/>
      <c r="Z131" s="2150"/>
    </row>
    <row r="132" spans="1:26" s="21" customFormat="1" ht="12" customHeight="1">
      <c r="A132" s="21" t="s">
        <v>858</v>
      </c>
      <c r="B132" s="21" t="s">
        <v>857</v>
      </c>
      <c r="C132" s="30">
        <v>41139</v>
      </c>
      <c r="D132" s="30">
        <v>41153</v>
      </c>
      <c r="E132" s="805" t="s">
        <v>854</v>
      </c>
      <c r="G132" s="764" t="s">
        <v>855</v>
      </c>
      <c r="H132" s="21" t="s">
        <v>856</v>
      </c>
      <c r="I132" s="21" t="s">
        <v>18</v>
      </c>
      <c r="J132" s="21" t="s">
        <v>51</v>
      </c>
      <c r="K132" s="21" t="s">
        <v>863</v>
      </c>
      <c r="L132" s="21" t="s">
        <v>862</v>
      </c>
      <c r="N132" s="50"/>
      <c r="O132" s="1013">
        <f>1590+1390+42+70</f>
        <v>3092</v>
      </c>
      <c r="Q132" s="21" t="s">
        <v>864</v>
      </c>
      <c r="R132" s="876">
        <v>2</v>
      </c>
      <c r="S132" s="764" t="s">
        <v>864</v>
      </c>
      <c r="T132" s="764" t="s">
        <v>860</v>
      </c>
      <c r="U132" s="1820">
        <f>O132/4</f>
        <v>773</v>
      </c>
      <c r="V132" s="78">
        <v>40941</v>
      </c>
      <c r="Y132" s="2150"/>
      <c r="Z132" s="2150"/>
    </row>
    <row r="133" spans="1:26" s="21" customFormat="1" ht="12" customHeight="1">
      <c r="A133" s="21" t="s">
        <v>942</v>
      </c>
      <c r="B133" s="21" t="s">
        <v>943</v>
      </c>
      <c r="C133" s="30">
        <v>41153</v>
      </c>
      <c r="D133" s="30">
        <v>41160</v>
      </c>
      <c r="E133" s="805"/>
      <c r="G133" s="764"/>
      <c r="I133" s="21" t="s">
        <v>944</v>
      </c>
      <c r="J133" s="21" t="s">
        <v>19</v>
      </c>
      <c r="N133" s="50" t="s">
        <v>990</v>
      </c>
      <c r="O133" s="1013">
        <f>1290+70+5*3*7</f>
        <v>1465</v>
      </c>
      <c r="Q133" s="21" t="s">
        <v>970</v>
      </c>
      <c r="R133" s="876">
        <v>1</v>
      </c>
      <c r="S133" s="764">
        <v>4</v>
      </c>
      <c r="T133" s="764">
        <v>5</v>
      </c>
      <c r="U133" s="1841">
        <v>312.5</v>
      </c>
      <c r="V133" s="78"/>
      <c r="Y133" s="2150"/>
      <c r="Z133" s="2150"/>
    </row>
    <row r="134" spans="1:26" s="21" customFormat="1" ht="12" customHeight="1">
      <c r="A134" s="21" t="s">
        <v>953</v>
      </c>
      <c r="B134" s="21" t="s">
        <v>954</v>
      </c>
      <c r="C134" s="30">
        <v>41161</v>
      </c>
      <c r="D134" s="30">
        <v>41174</v>
      </c>
      <c r="E134" s="21" t="s">
        <v>960</v>
      </c>
      <c r="G134" s="764" t="s">
        <v>956</v>
      </c>
      <c r="H134" s="21" t="s">
        <v>955</v>
      </c>
      <c r="I134" s="21" t="s">
        <v>18</v>
      </c>
      <c r="J134" s="21" t="s">
        <v>51</v>
      </c>
      <c r="L134" s="21" t="s">
        <v>957</v>
      </c>
      <c r="N134" s="50" t="s">
        <v>958</v>
      </c>
      <c r="O134" s="1013">
        <f>990*2</f>
        <v>1980</v>
      </c>
      <c r="Q134" s="21" t="s">
        <v>959</v>
      </c>
      <c r="R134" s="876">
        <v>2</v>
      </c>
      <c r="S134" s="764">
        <v>2</v>
      </c>
      <c r="T134" s="764">
        <v>3</v>
      </c>
      <c r="U134" s="1820">
        <v>495</v>
      </c>
      <c r="V134" s="78">
        <v>41101</v>
      </c>
      <c r="W134" s="21" t="s">
        <v>791</v>
      </c>
      <c r="Y134" s="2150"/>
      <c r="Z134" s="2150"/>
    </row>
    <row r="135" spans="1:26" s="21" customFormat="1" ht="12" customHeight="1">
      <c r="A135" s="21" t="s">
        <v>931</v>
      </c>
      <c r="B135" s="21" t="s">
        <v>932</v>
      </c>
      <c r="C135" s="30">
        <v>41181</v>
      </c>
      <c r="D135" s="30">
        <v>41188</v>
      </c>
      <c r="E135" s="805"/>
      <c r="G135" s="764"/>
      <c r="H135" s="90" t="s">
        <v>995</v>
      </c>
      <c r="I135" s="21" t="s">
        <v>18</v>
      </c>
      <c r="J135" s="21" t="s">
        <v>51</v>
      </c>
      <c r="L135" s="21" t="s">
        <v>994</v>
      </c>
      <c r="N135" s="50" t="s">
        <v>930</v>
      </c>
      <c r="O135" s="1013">
        <f>890+70+21+70</f>
        <v>1051</v>
      </c>
      <c r="Q135" s="21">
        <v>2</v>
      </c>
      <c r="R135" s="876">
        <v>1</v>
      </c>
      <c r="S135" s="764">
        <v>2</v>
      </c>
      <c r="T135" s="764">
        <v>1</v>
      </c>
      <c r="U135" s="1820">
        <v>225</v>
      </c>
      <c r="V135" s="78">
        <v>41034</v>
      </c>
      <c r="W135" s="21" t="s">
        <v>933</v>
      </c>
      <c r="Y135" s="2150"/>
      <c r="Z135" s="2150"/>
    </row>
    <row r="136" spans="1:26" s="21" customFormat="1" ht="12" customHeight="1">
      <c r="A136" s="20" t="s">
        <v>947</v>
      </c>
      <c r="C136" s="30">
        <v>41188</v>
      </c>
      <c r="D136" s="30">
        <v>41198</v>
      </c>
      <c r="E136" s="21" t="s">
        <v>948</v>
      </c>
      <c r="G136" s="764">
        <v>66879</v>
      </c>
      <c r="H136" s="21" t="s">
        <v>949</v>
      </c>
      <c r="I136" s="21" t="s">
        <v>18</v>
      </c>
      <c r="J136" s="21" t="s">
        <v>51</v>
      </c>
      <c r="K136" s="21">
        <v>49637170197</v>
      </c>
      <c r="L136" s="21" t="s">
        <v>1005</v>
      </c>
      <c r="N136" s="50"/>
      <c r="O136" s="1013">
        <f>790*2-330+70</f>
        <v>1320</v>
      </c>
      <c r="Q136" s="21" t="s">
        <v>674</v>
      </c>
      <c r="R136" s="876">
        <v>2</v>
      </c>
      <c r="S136" s="764">
        <v>5</v>
      </c>
      <c r="T136" s="764"/>
      <c r="U136" s="1841">
        <v>300</v>
      </c>
      <c r="V136" s="78"/>
      <c r="W136" s="21" t="s">
        <v>951</v>
      </c>
      <c r="Y136" s="2150"/>
      <c r="Z136" s="2150"/>
    </row>
    <row r="137" spans="1:26" s="21" customFormat="1" ht="12" customHeight="1">
      <c r="A137" s="20" t="s">
        <v>504</v>
      </c>
      <c r="B137" s="21" t="s">
        <v>98</v>
      </c>
      <c r="C137" s="30">
        <v>41209</v>
      </c>
      <c r="D137" s="30">
        <v>41216</v>
      </c>
      <c r="E137" s="21" t="s">
        <v>505</v>
      </c>
      <c r="G137" s="764">
        <v>78200</v>
      </c>
      <c r="H137" s="21" t="s">
        <v>506</v>
      </c>
      <c r="I137" s="21" t="s">
        <v>23</v>
      </c>
      <c r="J137" s="21" t="s">
        <v>19</v>
      </c>
      <c r="K137" s="21" t="s">
        <v>507</v>
      </c>
      <c r="L137" s="21" t="s">
        <v>508</v>
      </c>
      <c r="N137" s="50"/>
      <c r="O137" s="1013">
        <f>890+70</f>
        <v>960</v>
      </c>
      <c r="R137" s="876">
        <v>1</v>
      </c>
      <c r="S137" s="764">
        <v>2</v>
      </c>
      <c r="T137" s="764" t="s">
        <v>509</v>
      </c>
      <c r="U137" s="1842">
        <v>223</v>
      </c>
      <c r="V137" s="78">
        <v>41102</v>
      </c>
      <c r="W137" s="21" t="s">
        <v>946</v>
      </c>
      <c r="Y137" s="2150"/>
      <c r="Z137" s="2150"/>
    </row>
    <row r="138" spans="1:26" s="21" customFormat="1" ht="12" customHeight="1">
      <c r="A138" s="20" t="s">
        <v>1038</v>
      </c>
      <c r="B138" s="21" t="s">
        <v>1039</v>
      </c>
      <c r="C138" s="30">
        <v>41264</v>
      </c>
      <c r="D138" s="30">
        <v>41269</v>
      </c>
      <c r="E138" s="21" t="s">
        <v>1037</v>
      </c>
      <c r="G138" s="764">
        <v>92160</v>
      </c>
      <c r="H138" s="21" t="s">
        <v>1040</v>
      </c>
      <c r="I138" s="21" t="s">
        <v>23</v>
      </c>
      <c r="J138" s="21" t="s">
        <v>19</v>
      </c>
      <c r="K138" s="21" t="s">
        <v>1041</v>
      </c>
      <c r="L138" s="21" t="s">
        <v>1041</v>
      </c>
      <c r="N138" s="50"/>
      <c r="O138" s="1013">
        <v>760</v>
      </c>
      <c r="Q138" s="21" t="s">
        <v>1043</v>
      </c>
      <c r="R138" s="876">
        <v>1</v>
      </c>
      <c r="S138" s="764">
        <v>2</v>
      </c>
      <c r="T138" s="764"/>
      <c r="U138" s="1842">
        <v>0</v>
      </c>
      <c r="V138" s="78"/>
      <c r="W138" s="21" t="s">
        <v>1044</v>
      </c>
      <c r="Y138" s="2150"/>
      <c r="Z138" s="2150"/>
    </row>
    <row r="139" spans="1:26" s="67" customFormat="1" ht="12" customHeight="1">
      <c r="A139" s="95" t="s">
        <v>1002</v>
      </c>
      <c r="B139" s="67" t="s">
        <v>1003</v>
      </c>
      <c r="C139" s="68">
        <v>41266</v>
      </c>
      <c r="D139" s="68">
        <v>41273</v>
      </c>
      <c r="G139" s="803"/>
      <c r="I139" s="67" t="s">
        <v>23</v>
      </c>
      <c r="J139" s="67" t="s">
        <v>19</v>
      </c>
      <c r="N139" s="69" t="s">
        <v>1004</v>
      </c>
      <c r="O139" s="1023">
        <v>272.5</v>
      </c>
      <c r="R139" s="883">
        <v>0</v>
      </c>
      <c r="S139" s="803"/>
      <c r="T139" s="803"/>
      <c r="U139" s="1843">
        <v>272.5</v>
      </c>
      <c r="V139" s="94">
        <v>41190</v>
      </c>
      <c r="Y139" s="2154"/>
      <c r="Z139" s="2154"/>
    </row>
    <row r="140" spans="1:26" ht="12" customHeight="1">
      <c r="B140" s="7"/>
      <c r="C140" s="29"/>
      <c r="D140" s="29"/>
      <c r="F140" s="7"/>
      <c r="G140" s="133"/>
      <c r="H140" s="7"/>
      <c r="I140" s="7"/>
      <c r="J140" s="7"/>
      <c r="K140" s="7"/>
      <c r="L140" s="7"/>
      <c r="M140" s="7"/>
      <c r="N140" s="773"/>
      <c r="O140" s="1012"/>
      <c r="P140" s="7"/>
      <c r="S140" s="133"/>
      <c r="T140" s="133"/>
      <c r="U140" s="1819"/>
    </row>
    <row r="141" spans="1:26" ht="12" customHeight="1" thickBot="1">
      <c r="A141" s="7"/>
      <c r="B141" s="773"/>
      <c r="C141" s="29"/>
      <c r="D141" s="29"/>
      <c r="F141" s="7"/>
      <c r="G141" s="133"/>
      <c r="H141" s="7"/>
      <c r="I141" s="7"/>
      <c r="J141" s="7"/>
      <c r="K141" s="7"/>
      <c r="L141" s="7"/>
      <c r="M141" s="7"/>
      <c r="N141" s="7"/>
      <c r="O141" s="1012"/>
      <c r="P141" s="7"/>
      <c r="S141" s="133"/>
      <c r="T141" s="133"/>
      <c r="U141" s="1819"/>
    </row>
    <row r="142" spans="1:26" ht="12" customHeight="1" thickBot="1">
      <c r="A142" s="18" t="s">
        <v>861</v>
      </c>
      <c r="B142" s="767">
        <f>SUM(O120:O142)</f>
        <v>34278.5</v>
      </c>
      <c r="C142" s="804">
        <f>B142/B110</f>
        <v>1.22822387043606</v>
      </c>
      <c r="D142" s="791" t="s">
        <v>574</v>
      </c>
      <c r="E142" s="782"/>
      <c r="F142" s="7"/>
      <c r="G142" s="133"/>
      <c r="H142" s="7"/>
      <c r="I142" s="7"/>
      <c r="J142" s="7"/>
      <c r="K142" s="7"/>
      <c r="L142" s="7"/>
      <c r="M142" s="7"/>
      <c r="N142" s="7"/>
      <c r="O142" s="1012"/>
      <c r="P142" s="7"/>
      <c r="S142" s="133"/>
      <c r="T142" s="133"/>
      <c r="U142" s="1819"/>
    </row>
    <row r="143" spans="1:26" ht="12" customHeight="1" thickBot="1">
      <c r="A143" s="768" t="s">
        <v>463</v>
      </c>
      <c r="B143" s="769">
        <f>SUM(R109:R142)</f>
        <v>30</v>
      </c>
      <c r="C143" s="783">
        <f>B142/B143</f>
        <v>1142.6166666666666</v>
      </c>
      <c r="D143" s="17" t="s">
        <v>575</v>
      </c>
      <c r="E143" s="13"/>
      <c r="F143" s="7"/>
      <c r="G143" s="133"/>
      <c r="H143" s="7"/>
      <c r="I143" s="7"/>
      <c r="J143" s="7"/>
      <c r="K143" s="7"/>
      <c r="L143" s="7"/>
      <c r="M143" s="7"/>
      <c r="N143" s="7"/>
      <c r="O143" s="1012" t="s">
        <v>771</v>
      </c>
      <c r="P143" s="7"/>
      <c r="S143" s="133"/>
      <c r="T143" s="133"/>
      <c r="U143" s="1835">
        <f>O133-U133+O134-U134+70+5*3*14</f>
        <v>2917.5</v>
      </c>
    </row>
    <row r="144" spans="1:26" ht="12" customHeight="1" thickBot="1">
      <c r="A144" s="7"/>
      <c r="B144" s="7"/>
      <c r="C144" s="29"/>
      <c r="D144" s="17" t="s">
        <v>576</v>
      </c>
      <c r="E144" s="13"/>
      <c r="F144" s="7"/>
      <c r="G144" s="133"/>
      <c r="H144" s="7"/>
      <c r="I144" s="7"/>
      <c r="J144" s="7"/>
      <c r="K144" s="7"/>
      <c r="L144" s="7"/>
      <c r="M144" s="7"/>
      <c r="N144" s="7"/>
      <c r="O144" s="1012"/>
      <c r="P144" s="7"/>
      <c r="S144" s="133">
        <f>O134-U134</f>
        <v>1485</v>
      </c>
      <c r="T144" s="133"/>
      <c r="U144" s="1844">
        <f>O135-U135+O136-U136+O137-U137</f>
        <v>2583</v>
      </c>
    </row>
    <row r="145" spans="1:26" ht="12" customHeight="1" thickBot="1">
      <c r="A145" s="771" t="s">
        <v>464</v>
      </c>
      <c r="B145" s="772">
        <f>1577.94*12</f>
        <v>18935.28</v>
      </c>
      <c r="C145" s="29"/>
      <c r="D145" s="17" t="s">
        <v>677</v>
      </c>
      <c r="E145" s="13"/>
      <c r="F145" s="7"/>
      <c r="G145" s="133"/>
      <c r="H145" s="7"/>
      <c r="I145" s="7"/>
      <c r="J145" s="7"/>
      <c r="K145" s="7"/>
      <c r="L145" s="7"/>
      <c r="M145" s="7"/>
      <c r="N145" s="7"/>
      <c r="O145" s="1012"/>
      <c r="P145" s="7"/>
      <c r="S145" s="133"/>
      <c r="T145" s="133"/>
      <c r="U145" s="1844">
        <f>U143+U144</f>
        <v>5500.5</v>
      </c>
    </row>
    <row r="146" spans="1:26" ht="12" customHeight="1" thickBot="1">
      <c r="A146" s="7"/>
      <c r="B146" s="7"/>
      <c r="C146" s="29"/>
      <c r="D146" s="17" t="s">
        <v>577</v>
      </c>
      <c r="E146" s="13"/>
      <c r="F146" s="7"/>
      <c r="G146" s="133"/>
      <c r="H146" s="7" t="s">
        <v>1026</v>
      </c>
      <c r="I146" s="7"/>
      <c r="J146" s="7"/>
      <c r="K146" s="7"/>
      <c r="L146" s="7"/>
      <c r="M146" s="7"/>
      <c r="N146" s="7"/>
      <c r="O146" s="1012">
        <f>1190+1290</f>
        <v>2480</v>
      </c>
      <c r="P146" s="7"/>
      <c r="S146" s="133"/>
      <c r="T146" s="133"/>
      <c r="U146" s="1819"/>
    </row>
    <row r="147" spans="1:26" ht="12" customHeight="1" thickBot="1">
      <c r="A147" s="18" t="s">
        <v>465</v>
      </c>
      <c r="B147" s="799">
        <f>B142-B145-E148</f>
        <v>15343.220000000001</v>
      </c>
      <c r="C147" s="29"/>
      <c r="D147" s="786" t="s">
        <v>578</v>
      </c>
      <c r="E147" s="541"/>
      <c r="F147" s="7"/>
      <c r="G147" s="133"/>
      <c r="H147" s="7"/>
      <c r="I147" s="7"/>
      <c r="J147" s="7"/>
      <c r="K147" s="7"/>
      <c r="L147" s="773"/>
      <c r="M147" s="7"/>
      <c r="N147" s="7"/>
      <c r="O147" s="1012"/>
      <c r="P147" s="7"/>
      <c r="S147" s="133"/>
      <c r="T147" s="133"/>
      <c r="U147" s="1819"/>
    </row>
    <row r="148" spans="1:26" ht="12" customHeight="1" thickBot="1">
      <c r="A148" s="768" t="s">
        <v>1045</v>
      </c>
      <c r="B148" s="800">
        <f>B142/12</f>
        <v>2856.5416666666665</v>
      </c>
      <c r="C148" s="29"/>
      <c r="D148" s="801" t="s">
        <v>585</v>
      </c>
      <c r="E148" s="789">
        <f>SUM(E143:E147)</f>
        <v>0</v>
      </c>
      <c r="F148" s="7"/>
      <c r="G148" s="133"/>
      <c r="H148" s="7"/>
      <c r="I148" s="7"/>
      <c r="J148" s="7"/>
      <c r="K148" s="7"/>
      <c r="L148" s="7"/>
      <c r="M148" s="7"/>
      <c r="N148" s="7"/>
      <c r="O148" s="1012"/>
      <c r="P148" s="7"/>
      <c r="S148" s="133"/>
      <c r="T148" s="133"/>
      <c r="U148" s="1819"/>
    </row>
    <row r="149" spans="1:26" ht="12" customHeight="1">
      <c r="A149" s="7"/>
      <c r="C149" s="29"/>
      <c r="D149" s="74"/>
      <c r="E149" s="7"/>
      <c r="F149" s="7"/>
      <c r="G149" s="133"/>
      <c r="H149" s="7"/>
      <c r="I149" s="7"/>
      <c r="J149" s="7"/>
      <c r="K149" s="7"/>
      <c r="L149" s="7"/>
      <c r="M149" s="7"/>
      <c r="N149" s="7"/>
      <c r="O149" s="1012"/>
      <c r="P149" s="7"/>
      <c r="S149" s="133"/>
      <c r="T149" s="133"/>
      <c r="U149" s="1819"/>
    </row>
    <row r="150" spans="1:26" ht="12" customHeight="1">
      <c r="A150" s="7"/>
      <c r="C150" s="29"/>
      <c r="D150" s="74"/>
      <c r="E150" s="7"/>
      <c r="F150" s="7"/>
      <c r="G150" s="133"/>
      <c r="H150" s="7"/>
      <c r="I150" s="7"/>
      <c r="J150" s="7"/>
      <c r="K150" s="7"/>
      <c r="L150" s="7"/>
      <c r="M150" s="7"/>
      <c r="N150" s="7"/>
      <c r="O150" s="1012"/>
      <c r="P150" s="7"/>
      <c r="S150" s="133"/>
      <c r="T150" s="133"/>
      <c r="U150" s="1819"/>
    </row>
    <row r="151" spans="1:26" ht="12" customHeight="1">
      <c r="A151" s="9" t="s">
        <v>952</v>
      </c>
      <c r="B151" s="773"/>
      <c r="C151" s="29"/>
      <c r="D151" s="29"/>
      <c r="E151" s="7"/>
      <c r="F151" s="7"/>
      <c r="G151" s="133"/>
      <c r="H151" s="7"/>
      <c r="I151" s="7"/>
      <c r="J151" s="7"/>
      <c r="K151" s="7"/>
      <c r="L151" s="7"/>
      <c r="M151" s="7"/>
      <c r="N151" s="7"/>
      <c r="O151" s="1012"/>
      <c r="P151" s="7"/>
      <c r="S151" s="133"/>
      <c r="T151" s="133"/>
      <c r="U151" s="1819"/>
    </row>
    <row r="152" spans="1:26" s="21" customFormat="1" ht="12" customHeight="1">
      <c r="A152" s="21" t="s">
        <v>961</v>
      </c>
      <c r="B152" s="21" t="s">
        <v>962</v>
      </c>
      <c r="C152" s="30">
        <v>41279</v>
      </c>
      <c r="D152" s="30">
        <v>41289</v>
      </c>
      <c r="E152" s="21" t="s">
        <v>963</v>
      </c>
      <c r="G152" s="764">
        <v>13810</v>
      </c>
      <c r="H152" s="21" t="s">
        <v>964</v>
      </c>
      <c r="I152" s="21" t="s">
        <v>23</v>
      </c>
      <c r="J152" s="21" t="s">
        <v>19</v>
      </c>
      <c r="K152" s="21" t="s">
        <v>965</v>
      </c>
      <c r="L152" s="21" t="s">
        <v>966</v>
      </c>
      <c r="N152" s="50" t="s">
        <v>967</v>
      </c>
      <c r="O152" s="1013">
        <f>990+70+60</f>
        <v>1120</v>
      </c>
      <c r="Q152" s="21" t="s">
        <v>968</v>
      </c>
      <c r="R152" s="876">
        <v>2</v>
      </c>
      <c r="S152" s="764" t="s">
        <v>969</v>
      </c>
      <c r="T152" s="764">
        <v>2</v>
      </c>
      <c r="U152" s="1841">
        <v>250</v>
      </c>
      <c r="V152" s="78">
        <v>41105</v>
      </c>
      <c r="Y152" s="2150"/>
      <c r="Z152" s="2150"/>
    </row>
    <row r="153" spans="1:26" s="21" customFormat="1" ht="12" customHeight="1">
      <c r="A153" s="21" t="s">
        <v>1046</v>
      </c>
      <c r="B153" s="21" t="s">
        <v>1047</v>
      </c>
      <c r="C153" s="30">
        <v>41356</v>
      </c>
      <c r="D153" s="30">
        <v>41370</v>
      </c>
      <c r="G153" s="764"/>
      <c r="J153" s="21" t="s">
        <v>51</v>
      </c>
      <c r="K153" s="21" t="s">
        <v>1048</v>
      </c>
      <c r="L153" s="21" t="s">
        <v>1049</v>
      </c>
      <c r="N153" s="50"/>
      <c r="O153" s="1013">
        <f>2*690+3*2*14</f>
        <v>1464</v>
      </c>
      <c r="Q153" s="21" t="s">
        <v>1051</v>
      </c>
      <c r="R153" s="876">
        <v>2</v>
      </c>
      <c r="S153" s="764">
        <v>3</v>
      </c>
      <c r="T153" s="764">
        <v>2</v>
      </c>
      <c r="U153" s="1842">
        <v>345</v>
      </c>
      <c r="V153" s="78">
        <v>41280</v>
      </c>
      <c r="W153" s="21" t="s">
        <v>1052</v>
      </c>
      <c r="Y153" s="2150"/>
      <c r="Z153" s="2150"/>
    </row>
    <row r="154" spans="1:26" s="67" customFormat="1" ht="12" customHeight="1">
      <c r="A154" s="67" t="s">
        <v>1027</v>
      </c>
      <c r="B154" s="67" t="s">
        <v>1028</v>
      </c>
      <c r="C154" s="68">
        <v>41391</v>
      </c>
      <c r="D154" s="68">
        <v>41398</v>
      </c>
      <c r="E154" s="67" t="s">
        <v>1029</v>
      </c>
      <c r="G154" s="803" t="s">
        <v>1030</v>
      </c>
      <c r="H154" s="67" t="s">
        <v>1031</v>
      </c>
      <c r="I154" s="67" t="s">
        <v>884</v>
      </c>
      <c r="J154" s="67" t="s">
        <v>19</v>
      </c>
      <c r="K154" s="67" t="s">
        <v>1032</v>
      </c>
      <c r="L154" s="67" t="s">
        <v>1033</v>
      </c>
      <c r="N154" s="69"/>
      <c r="O154" s="1023">
        <v>0</v>
      </c>
      <c r="Q154" s="67" t="s">
        <v>1035</v>
      </c>
      <c r="R154" s="883">
        <v>0</v>
      </c>
      <c r="S154" s="803" t="s">
        <v>1036</v>
      </c>
      <c r="T154" s="803">
        <v>0</v>
      </c>
      <c r="U154" s="1843">
        <v>197.5</v>
      </c>
      <c r="V154" s="94">
        <v>41240</v>
      </c>
      <c r="Y154" s="2154"/>
      <c r="Z154" s="2154"/>
    </row>
    <row r="155" spans="1:26" s="21" customFormat="1" ht="12" customHeight="1">
      <c r="A155" s="21" t="s">
        <v>1106</v>
      </c>
      <c r="C155" s="30">
        <v>41378</v>
      </c>
      <c r="D155" s="30">
        <v>41388</v>
      </c>
      <c r="E155" s="21" t="s">
        <v>1107</v>
      </c>
      <c r="G155" s="764">
        <v>78120</v>
      </c>
      <c r="H155" s="21" t="s">
        <v>1108</v>
      </c>
      <c r="I155" s="21" t="s">
        <v>23</v>
      </c>
      <c r="J155" s="21" t="s">
        <v>19</v>
      </c>
      <c r="L155" s="21" t="s">
        <v>1109</v>
      </c>
      <c r="N155" s="50" t="s">
        <v>1110</v>
      </c>
      <c r="O155" s="1013">
        <f>790+790/2</f>
        <v>1185</v>
      </c>
      <c r="Q155" s="21" t="s">
        <v>1111</v>
      </c>
      <c r="R155" s="876">
        <v>2</v>
      </c>
      <c r="S155" s="764"/>
      <c r="T155" s="764">
        <v>1</v>
      </c>
      <c r="U155" s="1841">
        <v>385</v>
      </c>
      <c r="V155" s="78">
        <v>41339</v>
      </c>
      <c r="Y155" s="2150"/>
      <c r="Z155" s="2150"/>
    </row>
    <row r="156" spans="1:26" s="21" customFormat="1" ht="12" customHeight="1">
      <c r="A156" s="21" t="s">
        <v>1006</v>
      </c>
      <c r="B156" s="21" t="s">
        <v>693</v>
      </c>
      <c r="C156" s="30">
        <v>41415</v>
      </c>
      <c r="D156" s="30">
        <v>41426</v>
      </c>
      <c r="E156" s="21" t="s">
        <v>1007</v>
      </c>
      <c r="G156" s="764"/>
      <c r="I156" s="21" t="s">
        <v>18</v>
      </c>
      <c r="J156" s="21" t="s">
        <v>51</v>
      </c>
      <c r="K156" s="21" t="s">
        <v>1008</v>
      </c>
      <c r="L156" s="21" t="s">
        <v>1009</v>
      </c>
      <c r="N156" s="50" t="s">
        <v>1010</v>
      </c>
      <c r="O156" s="1013">
        <f>1680+70</f>
        <v>1750</v>
      </c>
      <c r="Q156" s="21" t="s">
        <v>1011</v>
      </c>
      <c r="R156" s="876">
        <v>2</v>
      </c>
      <c r="S156" s="764" t="s">
        <v>1012</v>
      </c>
      <c r="T156" s="764">
        <v>0</v>
      </c>
      <c r="U156" s="1841">
        <v>420</v>
      </c>
      <c r="V156" s="78">
        <v>41196</v>
      </c>
      <c r="W156" s="21" t="s">
        <v>1013</v>
      </c>
      <c r="Y156" s="2150"/>
      <c r="Z156" s="2150"/>
    </row>
    <row r="157" spans="1:26" s="21" customFormat="1" ht="12" customHeight="1">
      <c r="A157" s="21" t="s">
        <v>1124</v>
      </c>
      <c r="C157" s="30">
        <v>41433</v>
      </c>
      <c r="D157" s="30">
        <v>41440</v>
      </c>
      <c r="E157" s="21" t="s">
        <v>1125</v>
      </c>
      <c r="G157" s="764" t="s">
        <v>1126</v>
      </c>
      <c r="H157" s="21" t="s">
        <v>1127</v>
      </c>
      <c r="I157" s="21" t="s">
        <v>36</v>
      </c>
      <c r="J157" s="21" t="s">
        <v>19</v>
      </c>
      <c r="K157" s="21" t="s">
        <v>1128</v>
      </c>
      <c r="N157" s="50" t="s">
        <v>1680</v>
      </c>
      <c r="O157" s="1013">
        <v>1090</v>
      </c>
      <c r="Q157" s="21" t="s">
        <v>1130</v>
      </c>
      <c r="R157" s="876">
        <v>1</v>
      </c>
      <c r="S157" s="764" t="s">
        <v>1130</v>
      </c>
      <c r="T157" s="764">
        <v>0</v>
      </c>
      <c r="U157" s="1841">
        <v>290</v>
      </c>
      <c r="V157" s="78">
        <v>41386</v>
      </c>
      <c r="Y157" s="2150"/>
      <c r="Z157" s="2150"/>
    </row>
    <row r="158" spans="1:26" s="21" customFormat="1" ht="12" customHeight="1">
      <c r="A158" s="21" t="s">
        <v>1062</v>
      </c>
      <c r="B158" s="21" t="s">
        <v>1063</v>
      </c>
      <c r="C158" s="30">
        <v>41440</v>
      </c>
      <c r="D158" s="30">
        <v>41452</v>
      </c>
      <c r="E158" s="21" t="s">
        <v>1064</v>
      </c>
      <c r="G158" s="764" t="s">
        <v>1065</v>
      </c>
      <c r="I158" s="21" t="s">
        <v>54</v>
      </c>
      <c r="J158" s="21" t="s">
        <v>19</v>
      </c>
      <c r="K158" s="21" t="s">
        <v>1067</v>
      </c>
      <c r="L158" s="21" t="s">
        <v>1066</v>
      </c>
      <c r="N158" s="50" t="s">
        <v>1068</v>
      </c>
      <c r="O158" s="1013">
        <f>1190+3*12+810</f>
        <v>2036</v>
      </c>
      <c r="Q158" s="21" t="s">
        <v>1069</v>
      </c>
      <c r="R158" s="876">
        <v>2</v>
      </c>
      <c r="S158" s="764" t="s">
        <v>1070</v>
      </c>
      <c r="T158" s="764">
        <v>1</v>
      </c>
      <c r="U158" s="1841">
        <f>O158/4</f>
        <v>509</v>
      </c>
      <c r="V158" s="78">
        <v>41302</v>
      </c>
      <c r="W158" s="21" t="s">
        <v>1071</v>
      </c>
      <c r="Y158" s="2150"/>
      <c r="Z158" s="2150"/>
    </row>
    <row r="159" spans="1:26" s="21" customFormat="1" ht="12" customHeight="1">
      <c r="A159" s="21" t="s">
        <v>810</v>
      </c>
      <c r="B159" s="21" t="s">
        <v>1113</v>
      </c>
      <c r="C159" s="30">
        <v>41461</v>
      </c>
      <c r="D159" s="30">
        <v>41475</v>
      </c>
      <c r="E159" s="21" t="s">
        <v>1114</v>
      </c>
      <c r="G159" s="764" t="s">
        <v>1115</v>
      </c>
      <c r="H159" s="21" t="s">
        <v>1116</v>
      </c>
      <c r="I159" s="21" t="s">
        <v>18</v>
      </c>
      <c r="J159" s="21" t="s">
        <v>51</v>
      </c>
      <c r="K159" s="21" t="s">
        <v>1117</v>
      </c>
      <c r="L159" s="21" t="s">
        <v>1118</v>
      </c>
      <c r="N159" s="50" t="s">
        <v>1112</v>
      </c>
      <c r="O159" s="1013">
        <v>3000</v>
      </c>
      <c r="R159" s="876">
        <v>2</v>
      </c>
      <c r="S159" s="764" t="s">
        <v>1119</v>
      </c>
      <c r="T159" s="764"/>
      <c r="U159" s="1841">
        <v>750</v>
      </c>
      <c r="V159" s="78">
        <v>41364</v>
      </c>
      <c r="W159" s="21" t="s">
        <v>1071</v>
      </c>
      <c r="Y159" s="2150"/>
      <c r="Z159" s="2150"/>
    </row>
    <row r="160" spans="1:26" s="21" customFormat="1" ht="12" customHeight="1">
      <c r="A160" s="21" t="s">
        <v>1134</v>
      </c>
      <c r="B160" s="21" t="s">
        <v>1133</v>
      </c>
      <c r="C160" s="30">
        <v>41475</v>
      </c>
      <c r="D160" s="30">
        <v>41482</v>
      </c>
      <c r="E160" s="21" t="s">
        <v>1139</v>
      </c>
      <c r="G160" s="764" t="s">
        <v>1140</v>
      </c>
      <c r="H160" s="21" t="s">
        <v>1141</v>
      </c>
      <c r="I160" s="21" t="s">
        <v>18</v>
      </c>
      <c r="J160" s="21" t="s">
        <v>51</v>
      </c>
      <c r="K160" s="807" t="s">
        <v>1135</v>
      </c>
      <c r="L160" s="21" t="s">
        <v>1136</v>
      </c>
      <c r="N160" s="50"/>
      <c r="O160" s="1013">
        <v>1790</v>
      </c>
      <c r="R160" s="876">
        <v>1</v>
      </c>
      <c r="S160" s="764" t="s">
        <v>1138</v>
      </c>
      <c r="T160" s="764">
        <v>2</v>
      </c>
      <c r="U160" s="1841">
        <v>547.5</v>
      </c>
      <c r="V160" s="78">
        <v>41427</v>
      </c>
      <c r="W160" s="21" t="s">
        <v>1052</v>
      </c>
      <c r="X160" s="100">
        <f>O160-U160</f>
        <v>1242.5</v>
      </c>
      <c r="Y160" s="2150"/>
      <c r="Z160" s="2150"/>
    </row>
    <row r="161" spans="1:26" s="21" customFormat="1" ht="12" customHeight="1">
      <c r="A161" s="21" t="s">
        <v>1097</v>
      </c>
      <c r="B161" s="21" t="s">
        <v>1098</v>
      </c>
      <c r="C161" s="30">
        <v>41482</v>
      </c>
      <c r="D161" s="30">
        <v>41489</v>
      </c>
      <c r="E161" s="21" t="s">
        <v>1102</v>
      </c>
      <c r="G161" s="764" t="s">
        <v>1103</v>
      </c>
      <c r="H161" s="21" t="s">
        <v>1104</v>
      </c>
      <c r="I161" s="21" t="s">
        <v>36</v>
      </c>
      <c r="J161" s="21" t="s">
        <v>19</v>
      </c>
      <c r="K161" s="21" t="s">
        <v>1105</v>
      </c>
      <c r="L161" s="21" t="s">
        <v>2592</v>
      </c>
      <c r="N161" s="50" t="s">
        <v>1099</v>
      </c>
      <c r="O161" s="1013">
        <v>1990</v>
      </c>
      <c r="Q161" s="21" t="s">
        <v>1101</v>
      </c>
      <c r="R161" s="876">
        <v>1</v>
      </c>
      <c r="S161" s="764">
        <v>3</v>
      </c>
      <c r="T161" s="764">
        <v>0</v>
      </c>
      <c r="U161" s="1841">
        <v>500</v>
      </c>
      <c r="V161" s="78">
        <v>41331</v>
      </c>
      <c r="W161" s="21" t="s">
        <v>1081</v>
      </c>
      <c r="Y161" s="2150"/>
      <c r="Z161" s="2150"/>
    </row>
    <row r="162" spans="1:26" s="21" customFormat="1" ht="12" customHeight="1">
      <c r="A162" s="21" t="s">
        <v>1053</v>
      </c>
      <c r="B162" s="21" t="s">
        <v>1054</v>
      </c>
      <c r="C162" s="30">
        <v>41489</v>
      </c>
      <c r="D162" s="30">
        <v>41503</v>
      </c>
      <c r="E162" s="21" t="s">
        <v>1055</v>
      </c>
      <c r="G162" s="764">
        <v>70180</v>
      </c>
      <c r="H162" s="21" t="s">
        <v>1056</v>
      </c>
      <c r="I162" s="21" t="s">
        <v>18</v>
      </c>
      <c r="J162" s="21" t="s">
        <v>51</v>
      </c>
      <c r="K162" s="21" t="s">
        <v>1057</v>
      </c>
      <c r="L162" s="21" t="s">
        <v>1058</v>
      </c>
      <c r="N162" s="50"/>
      <c r="O162" s="1013">
        <f>2*1990</f>
        <v>3980</v>
      </c>
      <c r="Q162" s="21" t="s">
        <v>1060</v>
      </c>
      <c r="R162" s="876">
        <v>2</v>
      </c>
      <c r="S162" s="764" t="s">
        <v>1061</v>
      </c>
      <c r="T162" s="764">
        <v>1</v>
      </c>
      <c r="U162" s="1841">
        <f>985</f>
        <v>985</v>
      </c>
      <c r="V162" s="78">
        <v>41293</v>
      </c>
      <c r="W162" s="21" t="s">
        <v>791</v>
      </c>
      <c r="Y162" s="2150"/>
      <c r="Z162" s="2150"/>
    </row>
    <row r="163" spans="1:26" s="67" customFormat="1" ht="12" customHeight="1">
      <c r="A163" s="67" t="s">
        <v>1072</v>
      </c>
      <c r="B163" s="67" t="s">
        <v>1073</v>
      </c>
      <c r="C163" s="68">
        <v>41503</v>
      </c>
      <c r="D163" s="68">
        <v>41517</v>
      </c>
      <c r="E163" s="67" t="s">
        <v>1074</v>
      </c>
      <c r="G163" s="803">
        <v>74500</v>
      </c>
      <c r="H163" s="67" t="s">
        <v>1075</v>
      </c>
      <c r="I163" s="67" t="s">
        <v>23</v>
      </c>
      <c r="J163" s="67" t="s">
        <v>19</v>
      </c>
      <c r="K163" s="67" t="s">
        <v>1077</v>
      </c>
      <c r="L163" s="67" t="s">
        <v>1076</v>
      </c>
      <c r="N163" s="69"/>
      <c r="O163" s="1023">
        <v>745</v>
      </c>
      <c r="Q163" s="67" t="s">
        <v>1079</v>
      </c>
      <c r="R163" s="883">
        <v>0</v>
      </c>
      <c r="S163" s="803" t="s">
        <v>1080</v>
      </c>
      <c r="T163" s="803">
        <v>2</v>
      </c>
      <c r="U163" s="1843">
        <f>O163/4</f>
        <v>186.25</v>
      </c>
      <c r="V163" s="94">
        <v>41293</v>
      </c>
      <c r="W163" s="67" t="s">
        <v>1081</v>
      </c>
      <c r="Y163" s="2154"/>
      <c r="Z163" s="2154"/>
    </row>
    <row r="164" spans="1:26" s="21" customFormat="1" ht="12" customHeight="1">
      <c r="A164" s="21" t="s">
        <v>1157</v>
      </c>
      <c r="B164" s="21" t="s">
        <v>1158</v>
      </c>
      <c r="C164" s="30">
        <v>41503</v>
      </c>
      <c r="D164" s="30">
        <v>41510</v>
      </c>
      <c r="E164" s="21" t="s">
        <v>1159</v>
      </c>
      <c r="G164" s="764" t="s">
        <v>1160</v>
      </c>
      <c r="H164" s="21" t="s">
        <v>1161</v>
      </c>
      <c r="I164" s="21" t="s">
        <v>18</v>
      </c>
      <c r="J164" s="21" t="s">
        <v>1023</v>
      </c>
      <c r="K164" s="21" t="s">
        <v>1162</v>
      </c>
      <c r="L164" s="21" t="s">
        <v>1163</v>
      </c>
      <c r="N164" s="50"/>
      <c r="O164" s="1013">
        <f>1390+70</f>
        <v>1460</v>
      </c>
      <c r="Q164" s="21" t="s">
        <v>1165</v>
      </c>
      <c r="R164" s="876">
        <v>2</v>
      </c>
      <c r="S164" s="764" t="s">
        <v>1025</v>
      </c>
      <c r="T164" s="764"/>
      <c r="U164" s="1841">
        <f>2480/4</f>
        <v>620</v>
      </c>
      <c r="V164" s="78">
        <v>41207</v>
      </c>
      <c r="Y164" s="2150"/>
      <c r="Z164" s="2150"/>
    </row>
    <row r="165" spans="1:26" s="21" customFormat="1" ht="12" customHeight="1">
      <c r="A165" s="21" t="s">
        <v>1022</v>
      </c>
      <c r="B165" s="21" t="s">
        <v>1021</v>
      </c>
      <c r="C165" s="30">
        <v>41517</v>
      </c>
      <c r="D165" s="30">
        <v>41531</v>
      </c>
      <c r="G165" s="764"/>
      <c r="I165" s="21" t="s">
        <v>18</v>
      </c>
      <c r="J165" s="21" t="s">
        <v>1023</v>
      </c>
      <c r="L165" s="21" t="s">
        <v>1024</v>
      </c>
      <c r="N165" s="50" t="s">
        <v>1020</v>
      </c>
      <c r="O165" s="1013">
        <f>1290+1190+70+42</f>
        <v>2592</v>
      </c>
      <c r="Q165" s="21" t="s">
        <v>1025</v>
      </c>
      <c r="R165" s="876">
        <v>2</v>
      </c>
      <c r="S165" s="764" t="s">
        <v>1025</v>
      </c>
      <c r="T165" s="764"/>
      <c r="U165" s="1841">
        <f>2480/4</f>
        <v>620</v>
      </c>
      <c r="V165" s="78">
        <v>41207</v>
      </c>
      <c r="Y165" s="2150"/>
      <c r="Z165" s="2150"/>
    </row>
    <row r="166" spans="1:26" s="21" customFormat="1" ht="12" customHeight="1">
      <c r="A166" s="21" t="s">
        <v>1091</v>
      </c>
      <c r="B166" s="21" t="s">
        <v>1089</v>
      </c>
      <c r="C166" s="30">
        <v>41531</v>
      </c>
      <c r="D166" s="30">
        <v>41545</v>
      </c>
      <c r="E166" s="21" t="s">
        <v>1090</v>
      </c>
      <c r="G166" s="764" t="s">
        <v>1093</v>
      </c>
      <c r="H166" s="21" t="s">
        <v>1092</v>
      </c>
      <c r="I166" s="21" t="s">
        <v>18</v>
      </c>
      <c r="J166" s="21" t="s">
        <v>19</v>
      </c>
      <c r="K166" s="21" t="s">
        <v>1094</v>
      </c>
      <c r="L166" s="21" t="s">
        <v>1095</v>
      </c>
      <c r="N166" s="60" t="s">
        <v>4842</v>
      </c>
      <c r="O166" s="1013">
        <f>2000+70+42</f>
        <v>2112</v>
      </c>
      <c r="Q166" s="21" t="s">
        <v>1025</v>
      </c>
      <c r="R166" s="876">
        <v>2</v>
      </c>
      <c r="S166" s="764" t="s">
        <v>1025</v>
      </c>
      <c r="T166" s="764">
        <v>1</v>
      </c>
      <c r="U166" s="1841">
        <v>500</v>
      </c>
      <c r="V166" s="78">
        <v>41326</v>
      </c>
      <c r="W166" s="21" t="s">
        <v>1052</v>
      </c>
      <c r="Y166" s="2150"/>
      <c r="Z166" s="2150"/>
    </row>
    <row r="167" spans="1:26" s="21" customFormat="1" ht="12" customHeight="1">
      <c r="A167" s="21" t="s">
        <v>1166</v>
      </c>
      <c r="B167" s="21" t="s">
        <v>1167</v>
      </c>
      <c r="C167" s="30">
        <v>41548</v>
      </c>
      <c r="D167" s="30">
        <v>41552</v>
      </c>
      <c r="G167" s="764"/>
      <c r="I167" s="21" t="s">
        <v>168</v>
      </c>
      <c r="J167" s="21" t="s">
        <v>19</v>
      </c>
      <c r="N167" s="50" t="s">
        <v>1168</v>
      </c>
      <c r="O167" s="1013">
        <f>500+40</f>
        <v>540</v>
      </c>
      <c r="Q167" s="21" t="s">
        <v>1025</v>
      </c>
      <c r="R167" s="876">
        <v>1</v>
      </c>
      <c r="S167" s="764" t="s">
        <v>1025</v>
      </c>
      <c r="T167" s="764">
        <v>1</v>
      </c>
      <c r="U167" s="1841">
        <v>0</v>
      </c>
      <c r="V167" s="78">
        <v>41546</v>
      </c>
      <c r="W167" s="21" t="s">
        <v>1169</v>
      </c>
      <c r="Y167" s="2150"/>
      <c r="Z167" s="2150"/>
    </row>
    <row r="168" spans="1:26" s="21" customFormat="1" ht="12" customHeight="1">
      <c r="A168" s="20" t="s">
        <v>444</v>
      </c>
      <c r="B168" s="21" t="s">
        <v>256</v>
      </c>
      <c r="C168" s="30">
        <v>41552</v>
      </c>
      <c r="D168" s="30">
        <v>41559</v>
      </c>
      <c r="G168" s="764"/>
      <c r="I168" s="21" t="s">
        <v>18</v>
      </c>
      <c r="J168" s="21" t="s">
        <v>19</v>
      </c>
      <c r="L168" s="21" t="s">
        <v>1145</v>
      </c>
      <c r="N168" s="50"/>
      <c r="O168" s="1013">
        <v>790</v>
      </c>
      <c r="R168" s="876">
        <v>1</v>
      </c>
      <c r="S168" s="764">
        <v>2</v>
      </c>
      <c r="T168" s="764">
        <v>0</v>
      </c>
      <c r="U168" s="1820">
        <v>200</v>
      </c>
      <c r="V168" s="78"/>
      <c r="W168" s="21" t="s">
        <v>1144</v>
      </c>
      <c r="Y168" s="2150"/>
      <c r="Z168" s="2150"/>
    </row>
    <row r="169" spans="1:26" ht="12" customHeight="1">
      <c r="H169" s="808"/>
      <c r="N169" s="49"/>
      <c r="O169" s="1014"/>
      <c r="U169" s="1845"/>
    </row>
    <row r="170" spans="1:26" ht="12" customHeight="1">
      <c r="A170" s="809"/>
      <c r="N170" s="49"/>
      <c r="O170" s="1014"/>
      <c r="U170" s="1822"/>
    </row>
    <row r="171" spans="1:26" ht="12" customHeight="1">
      <c r="A171" s="809"/>
      <c r="E171" s="811"/>
      <c r="N171" s="49"/>
      <c r="O171" s="1014"/>
      <c r="U171" s="1822"/>
    </row>
    <row r="172" spans="1:26" ht="12" customHeight="1">
      <c r="A172" s="809"/>
      <c r="E172" s="811"/>
      <c r="N172" s="49"/>
      <c r="O172" s="1014"/>
      <c r="U172" s="1845"/>
    </row>
    <row r="173" spans="1:26" ht="12" customHeight="1">
      <c r="A173" s="49"/>
      <c r="E173" s="811"/>
      <c r="N173" s="49"/>
      <c r="O173" s="1014"/>
      <c r="U173" s="1822"/>
    </row>
    <row r="174" spans="1:26" ht="12" customHeight="1">
      <c r="A174" s="49"/>
      <c r="N174" s="49"/>
      <c r="O174" s="1014"/>
      <c r="U174" s="1846"/>
    </row>
    <row r="175" spans="1:26" ht="12" customHeight="1">
      <c r="A175" s="10"/>
      <c r="N175" s="49"/>
      <c r="O175" s="1014"/>
      <c r="U175" s="1846"/>
    </row>
    <row r="176" spans="1:26" ht="12" customHeight="1">
      <c r="N176" s="73"/>
      <c r="O176" s="1014"/>
      <c r="U176" s="1847"/>
    </row>
    <row r="177" spans="1:26" ht="12" customHeight="1">
      <c r="E177" s="811"/>
      <c r="L177" s="814">
        <f>O163-U163</f>
        <v>558.75</v>
      </c>
      <c r="N177" s="73"/>
      <c r="O177" s="1014"/>
      <c r="S177" s="132">
        <f>O166-U166</f>
        <v>1612</v>
      </c>
      <c r="U177" s="1822"/>
    </row>
    <row r="178" spans="1:26" ht="12" customHeight="1">
      <c r="N178" s="49"/>
      <c r="O178" s="1014"/>
      <c r="U178" s="1822"/>
    </row>
    <row r="179" spans="1:26" s="21" customFormat="1" ht="12" customHeight="1">
      <c r="A179" s="20" t="s">
        <v>1173</v>
      </c>
      <c r="B179" s="21" t="s">
        <v>1174</v>
      </c>
      <c r="C179" s="30">
        <v>41636</v>
      </c>
      <c r="D179" s="30">
        <v>41650</v>
      </c>
      <c r="E179" s="21" t="s">
        <v>1175</v>
      </c>
      <c r="G179" s="764" t="s">
        <v>1176</v>
      </c>
      <c r="H179" s="21" t="s">
        <v>868</v>
      </c>
      <c r="I179" s="21" t="s">
        <v>18</v>
      </c>
      <c r="J179" s="21" t="s">
        <v>51</v>
      </c>
      <c r="K179" s="21" t="s">
        <v>1177</v>
      </c>
      <c r="L179" s="21" t="s">
        <v>1178</v>
      </c>
      <c r="N179" s="50"/>
      <c r="O179" s="1013">
        <f>1150+690+70</f>
        <v>1910</v>
      </c>
      <c r="Q179" s="21" t="s">
        <v>1185</v>
      </c>
      <c r="R179" s="876">
        <v>2</v>
      </c>
      <c r="S179" s="764" t="s">
        <v>1180</v>
      </c>
      <c r="T179" s="764">
        <v>2</v>
      </c>
      <c r="U179" s="1820">
        <v>500</v>
      </c>
      <c r="V179" s="78">
        <v>41551</v>
      </c>
      <c r="W179" s="21" t="s">
        <v>1181</v>
      </c>
      <c r="X179" s="21" t="s">
        <v>1182</v>
      </c>
      <c r="Y179" s="2150"/>
      <c r="Z179" s="2150"/>
    </row>
    <row r="180" spans="1:26" ht="12" customHeight="1">
      <c r="N180" s="49"/>
      <c r="O180" s="1014"/>
      <c r="U180" s="1822"/>
    </row>
    <row r="181" spans="1:26" ht="12" customHeight="1">
      <c r="N181" s="49"/>
      <c r="O181" s="1014"/>
      <c r="U181" s="1822"/>
    </row>
    <row r="182" spans="1:26" ht="12" customHeight="1">
      <c r="N182" s="49"/>
      <c r="O182" s="1014"/>
      <c r="U182" s="1822"/>
    </row>
    <row r="183" spans="1:26" ht="12" customHeight="1">
      <c r="A183" s="7"/>
      <c r="B183" s="7"/>
      <c r="C183" s="29"/>
      <c r="D183" s="29"/>
      <c r="F183" s="7"/>
      <c r="G183" s="133"/>
      <c r="H183" s="7"/>
      <c r="I183" s="7"/>
      <c r="J183" s="7"/>
      <c r="K183" s="7"/>
      <c r="L183" s="773"/>
      <c r="M183" s="7"/>
      <c r="N183" s="773"/>
      <c r="O183" s="1012"/>
      <c r="P183" s="7"/>
      <c r="S183" s="133"/>
      <c r="T183" s="133"/>
      <c r="U183" s="1819"/>
    </row>
    <row r="184" spans="1:26" ht="12" customHeight="1" thickBot="1">
      <c r="A184" s="7"/>
      <c r="B184" s="773"/>
      <c r="C184" s="29"/>
      <c r="D184" s="29"/>
      <c r="F184" s="7"/>
      <c r="G184" s="133"/>
      <c r="H184" s="7"/>
      <c r="I184" s="7"/>
      <c r="J184" s="7"/>
      <c r="K184" s="7"/>
      <c r="L184" s="7"/>
      <c r="M184" s="7"/>
      <c r="N184" s="7"/>
      <c r="O184" s="1012"/>
      <c r="P184" s="7"/>
      <c r="S184" s="133"/>
      <c r="T184" s="133"/>
      <c r="U184" s="1819"/>
    </row>
    <row r="185" spans="1:26" ht="12" customHeight="1" thickBot="1">
      <c r="A185" s="18" t="s">
        <v>1143</v>
      </c>
      <c r="B185" s="767">
        <f>SUM(O151:O185)</f>
        <v>29554</v>
      </c>
      <c r="C185" s="804">
        <f>B185/B142</f>
        <v>0.86217308225272404</v>
      </c>
      <c r="D185" s="791" t="s">
        <v>574</v>
      </c>
      <c r="E185" s="782"/>
      <c r="F185" s="7"/>
      <c r="G185" s="133"/>
      <c r="H185" s="7"/>
      <c r="I185" s="7"/>
      <c r="J185" s="7"/>
      <c r="K185" s="7"/>
      <c r="L185" s="7"/>
      <c r="M185" s="7"/>
      <c r="N185" s="773"/>
      <c r="O185" s="1012"/>
      <c r="P185" s="7"/>
      <c r="S185" s="133"/>
      <c r="T185" s="133"/>
      <c r="U185" s="1819"/>
    </row>
    <row r="186" spans="1:26" ht="12" customHeight="1" thickBot="1">
      <c r="A186" s="768" t="s">
        <v>463</v>
      </c>
      <c r="B186" s="769">
        <f>SUM(R140:R185)</f>
        <v>27</v>
      </c>
      <c r="C186" s="783">
        <f>B185/B186</f>
        <v>1094.5925925925926</v>
      </c>
      <c r="D186" s="17" t="s">
        <v>575</v>
      </c>
      <c r="E186" s="13"/>
      <c r="F186" s="7"/>
      <c r="G186" s="133"/>
      <c r="H186" s="7"/>
      <c r="I186" s="7"/>
      <c r="J186" s="7"/>
      <c r="K186" s="7"/>
      <c r="L186" s="7"/>
      <c r="M186" s="7"/>
      <c r="N186" s="7"/>
      <c r="O186" s="1012"/>
      <c r="P186" s="7"/>
      <c r="S186" s="133"/>
      <c r="T186" s="133"/>
      <c r="U186" s="1819"/>
    </row>
    <row r="187" spans="1:26" ht="12" customHeight="1" thickBot="1">
      <c r="A187" s="7"/>
      <c r="B187" s="7"/>
      <c r="C187" s="29"/>
      <c r="D187" s="17" t="s">
        <v>576</v>
      </c>
      <c r="E187" s="13"/>
      <c r="F187" s="7"/>
      <c r="G187" s="133"/>
      <c r="H187" s="7"/>
      <c r="I187" s="7"/>
      <c r="J187" s="7"/>
      <c r="K187" s="7"/>
      <c r="L187" s="7"/>
      <c r="M187" s="7"/>
      <c r="N187" s="7"/>
      <c r="O187" s="1012"/>
      <c r="P187" s="7"/>
      <c r="S187" s="133"/>
      <c r="T187" s="133"/>
      <c r="U187" s="1819"/>
    </row>
    <row r="188" spans="1:26" ht="12" customHeight="1" thickBot="1">
      <c r="A188" s="771" t="s">
        <v>464</v>
      </c>
      <c r="B188" s="772">
        <f>(1577.94*12)-1040.38-(1040.38-394.46)</f>
        <v>17248.979999999996</v>
      </c>
      <c r="C188" s="29"/>
      <c r="D188" s="17" t="s">
        <v>677</v>
      </c>
      <c r="E188" s="13"/>
      <c r="F188" s="7"/>
      <c r="G188" s="133"/>
      <c r="H188" s="7"/>
      <c r="I188" s="7"/>
      <c r="J188" s="7"/>
      <c r="K188" s="7"/>
      <c r="L188" s="7"/>
      <c r="M188" s="7"/>
      <c r="N188" s="7"/>
      <c r="O188" s="1012"/>
      <c r="P188" s="7"/>
      <c r="S188" s="133"/>
      <c r="T188" s="133"/>
      <c r="U188" s="1819"/>
    </row>
    <row r="189" spans="1:26" ht="12" customHeight="1" thickBot="1">
      <c r="A189" s="7"/>
      <c r="B189" s="7"/>
      <c r="C189" s="29"/>
      <c r="D189" s="17" t="s">
        <v>577</v>
      </c>
      <c r="E189" s="13"/>
      <c r="F189" s="7"/>
      <c r="G189" s="133"/>
      <c r="H189" s="7"/>
      <c r="I189" s="7"/>
      <c r="J189" s="7"/>
      <c r="K189" s="7"/>
      <c r="L189" s="7"/>
      <c r="M189" s="7"/>
      <c r="N189" s="7"/>
      <c r="O189" s="1012"/>
      <c r="P189" s="7"/>
      <c r="S189" s="133"/>
      <c r="T189" s="133"/>
      <c r="U189" s="1819"/>
    </row>
    <row r="190" spans="1:26" ht="12" customHeight="1" thickBot="1">
      <c r="A190" s="18" t="s">
        <v>465</v>
      </c>
      <c r="B190" s="799">
        <f>B185-B188-E191</f>
        <v>12305.020000000004</v>
      </c>
      <c r="C190" s="29"/>
      <c r="D190" s="786" t="s">
        <v>578</v>
      </c>
      <c r="E190" s="541"/>
      <c r="F190" s="7"/>
      <c r="G190" s="133"/>
      <c r="H190" s="7"/>
      <c r="I190" s="7"/>
      <c r="J190" s="7"/>
      <c r="K190" s="7"/>
      <c r="L190" s="773"/>
      <c r="M190" s="7"/>
      <c r="N190" s="7"/>
      <c r="O190" s="1012"/>
      <c r="P190" s="7"/>
      <c r="S190" s="133"/>
      <c r="T190" s="133"/>
      <c r="U190" s="1819"/>
    </row>
    <row r="191" spans="1:26" ht="12" customHeight="1" thickBot="1">
      <c r="A191" s="768" t="s">
        <v>466</v>
      </c>
      <c r="B191" s="800">
        <f>B185/12</f>
        <v>2462.8333333333335</v>
      </c>
      <c r="C191" s="29"/>
      <c r="D191" s="801" t="s">
        <v>585</v>
      </c>
      <c r="E191" s="789">
        <f>SUM(E186:E190)</f>
        <v>0</v>
      </c>
      <c r="F191" s="7"/>
      <c r="G191" s="133"/>
      <c r="H191" s="7"/>
      <c r="I191" s="7"/>
      <c r="J191" s="7"/>
      <c r="K191" s="7"/>
      <c r="L191" s="7"/>
      <c r="M191" s="7"/>
      <c r="N191" s="7"/>
      <c r="O191" s="1012"/>
      <c r="P191" s="7"/>
      <c r="S191" s="133"/>
      <c r="T191" s="133"/>
      <c r="U191" s="1819"/>
    </row>
    <row r="192" spans="1:26" ht="12" customHeight="1">
      <c r="A192" s="7"/>
      <c r="C192" s="29"/>
      <c r="D192" s="74"/>
      <c r="E192" s="7"/>
      <c r="F192" s="7"/>
      <c r="G192" s="133"/>
      <c r="H192" s="7"/>
      <c r="I192" s="7"/>
      <c r="J192" s="7"/>
      <c r="K192" s="7"/>
      <c r="L192" s="7"/>
      <c r="M192" s="7"/>
      <c r="N192" s="7"/>
      <c r="O192" s="1012"/>
      <c r="P192" s="7"/>
      <c r="S192" s="133"/>
      <c r="T192" s="133"/>
      <c r="U192" s="1819"/>
    </row>
    <row r="193" spans="1:26" ht="12" customHeight="1">
      <c r="A193" s="7"/>
      <c r="C193" s="29"/>
      <c r="D193" s="74"/>
      <c r="E193" s="7"/>
      <c r="F193" s="7"/>
      <c r="G193" s="133"/>
      <c r="H193" s="7"/>
      <c r="I193" s="7"/>
      <c r="J193" s="7"/>
      <c r="K193" s="7"/>
      <c r="L193" s="7"/>
      <c r="M193" s="7"/>
      <c r="N193" s="7"/>
      <c r="O193" s="1012"/>
      <c r="P193" s="7"/>
      <c r="S193" s="133"/>
      <c r="T193" s="133"/>
      <c r="U193" s="1819"/>
    </row>
    <row r="194" spans="1:26" ht="12" customHeight="1">
      <c r="A194" s="7"/>
      <c r="C194" s="29"/>
      <c r="D194" s="74"/>
      <c r="E194" s="7"/>
      <c r="F194" s="7"/>
      <c r="G194" s="133"/>
      <c r="H194" s="7"/>
      <c r="I194" s="7"/>
      <c r="J194" s="7"/>
      <c r="K194" s="7"/>
      <c r="L194" s="7"/>
      <c r="M194" s="7"/>
      <c r="N194" s="7"/>
      <c r="O194" s="1012"/>
      <c r="P194" s="7"/>
      <c r="S194" s="133"/>
      <c r="T194" s="133"/>
      <c r="U194" s="1819"/>
    </row>
    <row r="195" spans="1:26" ht="12" customHeight="1">
      <c r="A195" s="7"/>
      <c r="C195" s="29"/>
      <c r="D195" s="74"/>
      <c r="E195" s="7"/>
      <c r="F195" s="7"/>
      <c r="G195" s="133"/>
      <c r="H195" s="7"/>
      <c r="I195" s="7"/>
      <c r="J195" s="7"/>
      <c r="K195" s="7"/>
      <c r="L195" s="7"/>
      <c r="M195" s="7"/>
      <c r="N195" s="7"/>
      <c r="O195" s="1012"/>
      <c r="P195" s="7"/>
      <c r="S195" s="133"/>
      <c r="T195" s="133"/>
      <c r="U195" s="1819"/>
    </row>
    <row r="196" spans="1:26" ht="12" customHeight="1">
      <c r="A196" s="7"/>
      <c r="C196" s="29"/>
      <c r="D196" s="74"/>
      <c r="E196" s="7"/>
      <c r="F196" s="7"/>
      <c r="G196" s="133"/>
      <c r="H196" s="7"/>
      <c r="I196" s="7"/>
      <c r="J196" s="7"/>
      <c r="K196" s="7"/>
      <c r="L196" s="7"/>
      <c r="M196" s="7"/>
      <c r="N196" s="7"/>
      <c r="O196" s="1012"/>
      <c r="P196" s="7"/>
      <c r="S196" s="133"/>
      <c r="T196" s="133"/>
      <c r="U196" s="1819"/>
    </row>
    <row r="197" spans="1:26" ht="12" customHeight="1">
      <c r="A197" s="7"/>
      <c r="C197" s="29"/>
      <c r="D197" s="74"/>
      <c r="E197" s="7"/>
      <c r="F197" s="7"/>
      <c r="G197" s="133"/>
      <c r="H197" s="7"/>
      <c r="I197" s="7"/>
      <c r="J197" s="7"/>
      <c r="K197" s="7"/>
      <c r="L197" s="7"/>
      <c r="M197" s="7"/>
      <c r="N197" s="7"/>
      <c r="O197" s="1012"/>
      <c r="P197" s="7"/>
      <c r="S197" s="133"/>
      <c r="T197" s="133"/>
      <c r="U197" s="1819"/>
    </row>
    <row r="198" spans="1:26" ht="12" customHeight="1">
      <c r="A198" s="9" t="s">
        <v>1156</v>
      </c>
      <c r="B198" s="773"/>
      <c r="C198" s="29"/>
      <c r="D198" s="29"/>
      <c r="E198" s="7"/>
      <c r="F198" s="7"/>
      <c r="G198" s="133"/>
      <c r="H198" s="7"/>
      <c r="I198" s="7"/>
      <c r="J198" s="7"/>
      <c r="K198" s="7"/>
      <c r="L198" s="7"/>
      <c r="M198" s="7"/>
      <c r="N198" s="7"/>
      <c r="O198" s="1012"/>
      <c r="P198" s="7"/>
      <c r="S198" s="133"/>
      <c r="T198" s="133"/>
      <c r="U198" s="1819"/>
    </row>
    <row r="199" spans="1:26" ht="12" customHeight="1">
      <c r="N199" s="49"/>
      <c r="O199" s="1014"/>
      <c r="U199" s="1845"/>
    </row>
    <row r="200" spans="1:26" s="21" customFormat="1" ht="12" customHeight="1">
      <c r="A200" s="21" t="s">
        <v>1245</v>
      </c>
      <c r="B200" s="21" t="s">
        <v>1246</v>
      </c>
      <c r="C200" s="30">
        <v>41699</v>
      </c>
      <c r="D200" s="30">
        <v>41706</v>
      </c>
      <c r="E200" s="21" t="s">
        <v>1248</v>
      </c>
      <c r="G200" s="764">
        <v>60400</v>
      </c>
      <c r="H200" s="21" t="s">
        <v>1249</v>
      </c>
      <c r="I200" s="21" t="s">
        <v>23</v>
      </c>
      <c r="J200" s="21" t="s">
        <v>19</v>
      </c>
      <c r="K200" s="21" t="s">
        <v>1247</v>
      </c>
      <c r="N200" s="50" t="s">
        <v>1250</v>
      </c>
      <c r="O200" s="1013">
        <v>600</v>
      </c>
      <c r="R200" s="876">
        <v>1</v>
      </c>
      <c r="S200" s="764">
        <v>6</v>
      </c>
      <c r="T200" s="764">
        <v>0</v>
      </c>
      <c r="U200" s="1842"/>
      <c r="V200" s="78">
        <v>41685</v>
      </c>
      <c r="X200" s="21" t="s">
        <v>1217</v>
      </c>
      <c r="Y200" s="2150"/>
      <c r="Z200" s="2150"/>
    </row>
    <row r="201" spans="1:26" s="21" customFormat="1" ht="12" customHeight="1">
      <c r="A201" s="21" t="s">
        <v>1194</v>
      </c>
      <c r="B201" s="21" t="s">
        <v>1193</v>
      </c>
      <c r="C201" s="30">
        <v>41741</v>
      </c>
      <c r="D201" s="30">
        <v>41755</v>
      </c>
      <c r="E201" s="21" t="s">
        <v>1195</v>
      </c>
      <c r="G201" s="764" t="s">
        <v>1196</v>
      </c>
      <c r="H201" s="21" t="s">
        <v>1197</v>
      </c>
      <c r="I201" s="21" t="s">
        <v>18</v>
      </c>
      <c r="J201" s="21" t="s">
        <v>51</v>
      </c>
      <c r="K201" s="21" t="s">
        <v>1198</v>
      </c>
      <c r="L201" s="21" t="s">
        <v>1199</v>
      </c>
      <c r="N201" s="50"/>
      <c r="O201" s="1013">
        <f>790+790</f>
        <v>1580</v>
      </c>
      <c r="Q201" s="21" t="s">
        <v>1201</v>
      </c>
      <c r="R201" s="876">
        <v>2</v>
      </c>
      <c r="S201" s="764" t="s">
        <v>1202</v>
      </c>
      <c r="T201" s="764">
        <v>0</v>
      </c>
      <c r="U201" s="1841">
        <f>1580/4</f>
        <v>395</v>
      </c>
      <c r="V201" s="78">
        <v>41603</v>
      </c>
      <c r="W201" s="21" t="s">
        <v>791</v>
      </c>
      <c r="X201" s="21" t="s">
        <v>1154</v>
      </c>
      <c r="Y201" s="2150"/>
      <c r="Z201" s="2150"/>
    </row>
    <row r="202" spans="1:26" s="21" customFormat="1" ht="12" customHeight="1">
      <c r="A202" s="21" t="s">
        <v>1205</v>
      </c>
      <c r="B202" s="21" t="s">
        <v>1204</v>
      </c>
      <c r="C202" s="30">
        <v>41755</v>
      </c>
      <c r="D202" s="30">
        <v>41762</v>
      </c>
      <c r="G202" s="764"/>
      <c r="H202" s="21" t="s">
        <v>1206</v>
      </c>
      <c r="I202" s="21" t="s">
        <v>23</v>
      </c>
      <c r="J202" s="21" t="s">
        <v>19</v>
      </c>
      <c r="L202" s="21" t="s">
        <v>1268</v>
      </c>
      <c r="N202" s="50" t="s">
        <v>1203</v>
      </c>
      <c r="O202" s="1013">
        <v>790</v>
      </c>
      <c r="Q202" s="21" t="s">
        <v>1207</v>
      </c>
      <c r="R202" s="876">
        <v>1</v>
      </c>
      <c r="S202" s="764" t="s">
        <v>1208</v>
      </c>
      <c r="T202" s="764">
        <v>1</v>
      </c>
      <c r="U202" s="1841">
        <f>790/4</f>
        <v>197.5</v>
      </c>
      <c r="V202" s="78">
        <v>41615</v>
      </c>
      <c r="X202" s="21" t="s">
        <v>1154</v>
      </c>
      <c r="Y202" s="2150"/>
      <c r="Z202" s="2150"/>
    </row>
    <row r="203" spans="1:26" s="21" customFormat="1" ht="12" customHeight="1">
      <c r="A203" s="21" t="s">
        <v>1147</v>
      </c>
      <c r="B203" s="21" t="s">
        <v>1148</v>
      </c>
      <c r="C203" s="30">
        <v>41769</v>
      </c>
      <c r="D203" s="30">
        <v>41783</v>
      </c>
      <c r="E203" s="21" t="s">
        <v>1149</v>
      </c>
      <c r="G203" s="764" t="s">
        <v>1150</v>
      </c>
      <c r="H203" s="21" t="s">
        <v>1151</v>
      </c>
      <c r="I203" s="21" t="s">
        <v>18</v>
      </c>
      <c r="J203" s="21" t="s">
        <v>51</v>
      </c>
      <c r="L203" s="21" t="s">
        <v>1152</v>
      </c>
      <c r="N203" s="50" t="s">
        <v>1153</v>
      </c>
      <c r="O203" s="1013">
        <f>790*2</f>
        <v>1580</v>
      </c>
      <c r="Q203" s="21" t="s">
        <v>1267</v>
      </c>
      <c r="R203" s="876">
        <v>2</v>
      </c>
      <c r="S203" s="764" t="s">
        <v>1025</v>
      </c>
      <c r="T203" s="764">
        <v>1</v>
      </c>
      <c r="U203" s="1841">
        <f>O203/4</f>
        <v>395</v>
      </c>
      <c r="V203" s="78">
        <v>41467</v>
      </c>
      <c r="W203" s="21" t="s">
        <v>791</v>
      </c>
      <c r="X203" s="21" t="s">
        <v>1154</v>
      </c>
      <c r="Y203" s="2150">
        <f>1580/4</f>
        <v>395</v>
      </c>
      <c r="Z203" s="2150" t="s">
        <v>1172</v>
      </c>
    </row>
    <row r="204" spans="1:26" s="21" customFormat="1" ht="12" customHeight="1">
      <c r="A204" s="21" t="s">
        <v>1186</v>
      </c>
      <c r="B204" s="21" t="s">
        <v>1187</v>
      </c>
      <c r="C204" s="30">
        <v>41783</v>
      </c>
      <c r="D204" s="30">
        <v>41797</v>
      </c>
      <c r="E204" s="21" t="s">
        <v>1188</v>
      </c>
      <c r="G204" s="764"/>
      <c r="I204" s="21" t="s">
        <v>18</v>
      </c>
      <c r="J204" s="21" t="s">
        <v>51</v>
      </c>
      <c r="K204" s="21" t="s">
        <v>1189</v>
      </c>
      <c r="L204" s="21" t="s">
        <v>1190</v>
      </c>
      <c r="N204" s="50" t="s">
        <v>1191</v>
      </c>
      <c r="O204" s="1013">
        <f>890+990+70</f>
        <v>1950</v>
      </c>
      <c r="Q204" s="21" t="s">
        <v>1192</v>
      </c>
      <c r="R204" s="876">
        <v>2</v>
      </c>
      <c r="S204" s="764" t="s">
        <v>717</v>
      </c>
      <c r="T204" s="764">
        <v>2</v>
      </c>
      <c r="U204" s="1841">
        <f>1880/4</f>
        <v>470</v>
      </c>
      <c r="V204" s="78">
        <v>41601</v>
      </c>
      <c r="W204" s="21" t="s">
        <v>791</v>
      </c>
      <c r="X204" s="21" t="s">
        <v>1154</v>
      </c>
      <c r="Y204" s="2150"/>
      <c r="Z204" s="2150"/>
    </row>
    <row r="205" spans="1:26" s="21" customFormat="1" ht="12" customHeight="1">
      <c r="A205" s="21" t="s">
        <v>555</v>
      </c>
      <c r="B205" s="21" t="s">
        <v>1251</v>
      </c>
      <c r="C205" s="30">
        <v>41797</v>
      </c>
      <c r="D205" s="30">
        <v>41811</v>
      </c>
      <c r="E205" s="21" t="s">
        <v>1252</v>
      </c>
      <c r="G205" s="764" t="s">
        <v>1253</v>
      </c>
      <c r="H205" s="21" t="s">
        <v>1254</v>
      </c>
      <c r="I205" s="21" t="s">
        <v>18</v>
      </c>
      <c r="J205" s="21" t="s">
        <v>51</v>
      </c>
      <c r="L205" s="21" t="s">
        <v>1255</v>
      </c>
      <c r="N205" s="50" t="s">
        <v>1256</v>
      </c>
      <c r="O205" s="1013">
        <f>1090+1190+70</f>
        <v>2350</v>
      </c>
      <c r="R205" s="876">
        <v>2</v>
      </c>
      <c r="S205" s="764" t="s">
        <v>1258</v>
      </c>
      <c r="T205" s="764" t="s">
        <v>1257</v>
      </c>
      <c r="U205" s="1841">
        <v>570</v>
      </c>
      <c r="V205" s="78">
        <v>41701</v>
      </c>
      <c r="W205" s="21" t="s">
        <v>791</v>
      </c>
      <c r="Y205" s="2150"/>
      <c r="Z205" s="2150"/>
    </row>
    <row r="206" spans="1:26" s="21" customFormat="1" ht="12" customHeight="1">
      <c r="A206" s="21" t="s">
        <v>1237</v>
      </c>
      <c r="B206" s="21" t="s">
        <v>693</v>
      </c>
      <c r="C206" s="30">
        <v>41811</v>
      </c>
      <c r="D206" s="30">
        <v>41818</v>
      </c>
      <c r="E206" s="21" t="s">
        <v>1238</v>
      </c>
      <c r="G206" s="764" t="s">
        <v>1239</v>
      </c>
      <c r="H206" s="21" t="s">
        <v>1240</v>
      </c>
      <c r="I206" s="21" t="s">
        <v>18</v>
      </c>
      <c r="J206" s="21" t="s">
        <v>51</v>
      </c>
      <c r="K206" s="21" t="s">
        <v>1241</v>
      </c>
      <c r="L206" s="21" t="s">
        <v>1242</v>
      </c>
      <c r="N206" s="50" t="s">
        <v>1243</v>
      </c>
      <c r="O206" s="1013">
        <f>1290+70+21</f>
        <v>1381</v>
      </c>
      <c r="Q206" s="21" t="s">
        <v>1244</v>
      </c>
      <c r="R206" s="876">
        <v>1</v>
      </c>
      <c r="S206" s="764" t="s">
        <v>1244</v>
      </c>
      <c r="T206" s="764">
        <v>1</v>
      </c>
      <c r="U206" s="1841">
        <f>1290/4</f>
        <v>322.5</v>
      </c>
      <c r="V206" s="78">
        <v>41664</v>
      </c>
      <c r="W206" s="21" t="s">
        <v>791</v>
      </c>
      <c r="X206" s="21" t="s">
        <v>1154</v>
      </c>
      <c r="Y206" s="2150"/>
      <c r="Z206" s="2150"/>
    </row>
    <row r="207" spans="1:26" s="21" customFormat="1" ht="12" customHeight="1">
      <c r="A207" s="21" t="s">
        <v>1286</v>
      </c>
      <c r="B207" s="21" t="s">
        <v>1285</v>
      </c>
      <c r="C207" s="30">
        <v>41839</v>
      </c>
      <c r="D207" s="30">
        <v>41853</v>
      </c>
      <c r="E207" s="21" t="s">
        <v>1287</v>
      </c>
      <c r="G207" s="764" t="s">
        <v>1288</v>
      </c>
      <c r="H207" s="21" t="s">
        <v>868</v>
      </c>
      <c r="I207" s="21" t="s">
        <v>18</v>
      </c>
      <c r="J207" s="21" t="s">
        <v>51</v>
      </c>
      <c r="K207" s="21" t="s">
        <v>1289</v>
      </c>
      <c r="N207" s="50" t="s">
        <v>1290</v>
      </c>
      <c r="O207" s="1013">
        <v>3000</v>
      </c>
      <c r="Q207" s="21" t="s">
        <v>1291</v>
      </c>
      <c r="R207" s="876">
        <v>2</v>
      </c>
      <c r="S207" s="764">
        <v>4</v>
      </c>
      <c r="T207" s="764">
        <v>0</v>
      </c>
      <c r="U207" s="1841">
        <v>0</v>
      </c>
      <c r="V207" s="78">
        <v>41822</v>
      </c>
      <c r="X207" s="21" t="s">
        <v>1217</v>
      </c>
      <c r="Y207" s="2150"/>
      <c r="Z207" s="2150"/>
    </row>
    <row r="208" spans="1:26" s="21" customFormat="1" ht="12" customHeight="1">
      <c r="A208" s="21" t="s">
        <v>1260</v>
      </c>
      <c r="B208" s="21" t="s">
        <v>1259</v>
      </c>
      <c r="C208" s="30">
        <v>41853</v>
      </c>
      <c r="D208" s="30">
        <v>41867</v>
      </c>
      <c r="E208" s="21" t="s">
        <v>1261</v>
      </c>
      <c r="G208" s="764" t="s">
        <v>670</v>
      </c>
      <c r="H208" s="21" t="s">
        <v>1262</v>
      </c>
      <c r="I208" s="21" t="s">
        <v>18</v>
      </c>
      <c r="J208" s="21" t="s">
        <v>51</v>
      </c>
      <c r="L208" s="21" t="s">
        <v>1263</v>
      </c>
      <c r="N208" s="50" t="s">
        <v>1264</v>
      </c>
      <c r="O208" s="1013">
        <f>1990+1990+70+42</f>
        <v>4092</v>
      </c>
      <c r="Q208" s="21" t="s">
        <v>1265</v>
      </c>
      <c r="R208" s="876">
        <v>2</v>
      </c>
      <c r="S208" s="764" t="s">
        <v>1266</v>
      </c>
      <c r="T208" s="764">
        <v>1</v>
      </c>
      <c r="U208" s="1841">
        <f>1000</f>
        <v>1000</v>
      </c>
      <c r="V208" s="78">
        <v>41701</v>
      </c>
      <c r="W208" s="21" t="s">
        <v>791</v>
      </c>
      <c r="Y208" s="2150"/>
      <c r="Z208" s="2150"/>
    </row>
    <row r="209" spans="1:26" s="21" customFormat="1" ht="12" customHeight="1">
      <c r="A209" s="21" t="s">
        <v>1276</v>
      </c>
      <c r="B209" s="21" t="s">
        <v>1277</v>
      </c>
      <c r="C209" s="30">
        <v>41867</v>
      </c>
      <c r="D209" s="30">
        <v>41874</v>
      </c>
      <c r="E209" s="21" t="s">
        <v>1282</v>
      </c>
      <c r="G209" s="764">
        <v>95550</v>
      </c>
      <c r="H209" s="21" t="s">
        <v>1283</v>
      </c>
      <c r="I209" s="21" t="s">
        <v>23</v>
      </c>
      <c r="J209" s="21" t="s">
        <v>19</v>
      </c>
      <c r="L209" s="21" t="s">
        <v>1284</v>
      </c>
      <c r="N209" s="50" t="s">
        <v>1292</v>
      </c>
      <c r="O209" s="1013">
        <v>1350</v>
      </c>
      <c r="Q209" s="21" t="s">
        <v>1278</v>
      </c>
      <c r="R209" s="876">
        <v>1</v>
      </c>
      <c r="S209" s="764" t="s">
        <v>1279</v>
      </c>
      <c r="T209" s="764">
        <v>0</v>
      </c>
      <c r="U209" s="1841">
        <v>350</v>
      </c>
      <c r="V209" s="78" t="s">
        <v>1280</v>
      </c>
      <c r="W209" s="21" t="s">
        <v>1281</v>
      </c>
      <c r="X209" s="21" t="s">
        <v>1217</v>
      </c>
      <c r="Y209" s="2150"/>
      <c r="Z209" s="2150"/>
    </row>
    <row r="210" spans="1:26" s="21" customFormat="1" ht="12" customHeight="1">
      <c r="A210" s="21" t="s">
        <v>1062</v>
      </c>
      <c r="B210" s="21" t="s">
        <v>1063</v>
      </c>
      <c r="C210" s="30">
        <v>41874</v>
      </c>
      <c r="D210" s="30">
        <v>41888</v>
      </c>
      <c r="E210" s="21" t="s">
        <v>1064</v>
      </c>
      <c r="G210" s="764" t="s">
        <v>1065</v>
      </c>
      <c r="I210" s="21" t="s">
        <v>54</v>
      </c>
      <c r="J210" s="21" t="s">
        <v>19</v>
      </c>
      <c r="K210" s="21" t="s">
        <v>1067</v>
      </c>
      <c r="L210" s="21" t="s">
        <v>1066</v>
      </c>
      <c r="N210" s="50" t="s">
        <v>1068</v>
      </c>
      <c r="O210" s="1013">
        <f>1590+1290</f>
        <v>2880</v>
      </c>
      <c r="Q210" s="21" t="s">
        <v>1183</v>
      </c>
      <c r="R210" s="876">
        <v>2</v>
      </c>
      <c r="S210" s="764" t="s">
        <v>1070</v>
      </c>
      <c r="T210" s="764">
        <v>1</v>
      </c>
      <c r="U210" s="1841">
        <f>O210/4</f>
        <v>720</v>
      </c>
      <c r="V210" s="78">
        <v>41302</v>
      </c>
      <c r="W210" s="21" t="s">
        <v>1071</v>
      </c>
      <c r="Y210" s="2150"/>
      <c r="Z210" s="2150"/>
    </row>
    <row r="211" spans="1:26" s="21" customFormat="1" ht="12" customHeight="1">
      <c r="A211" s="21" t="s">
        <v>1228</v>
      </c>
      <c r="B211" s="21" t="s">
        <v>1229</v>
      </c>
      <c r="C211" s="30">
        <v>41888</v>
      </c>
      <c r="D211" s="30">
        <v>41895</v>
      </c>
      <c r="E211" s="21" t="s">
        <v>1230</v>
      </c>
      <c r="G211" s="764" t="s">
        <v>1231</v>
      </c>
      <c r="H211" s="21" t="s">
        <v>1232</v>
      </c>
      <c r="I211" s="21" t="s">
        <v>36</v>
      </c>
      <c r="J211" s="21" t="s">
        <v>19</v>
      </c>
      <c r="L211" s="21" t="s">
        <v>1233</v>
      </c>
      <c r="N211" s="50" t="s">
        <v>1234</v>
      </c>
      <c r="O211" s="1013">
        <v>1190</v>
      </c>
      <c r="Q211" s="21" t="s">
        <v>1235</v>
      </c>
      <c r="R211" s="876">
        <v>1</v>
      </c>
      <c r="S211" s="764"/>
      <c r="T211" s="764">
        <v>0</v>
      </c>
      <c r="U211" s="1841">
        <f>300</f>
        <v>300</v>
      </c>
      <c r="V211" s="78">
        <v>41659</v>
      </c>
      <c r="X211" s="21" t="s">
        <v>1154</v>
      </c>
      <c r="Y211" s="2150"/>
      <c r="Z211" s="2150"/>
    </row>
    <row r="212" spans="1:26" s="21" customFormat="1" ht="12" customHeight="1">
      <c r="A212" s="21" t="s">
        <v>1209</v>
      </c>
      <c r="B212" s="21" t="s">
        <v>1210</v>
      </c>
      <c r="C212" s="30">
        <v>41897</v>
      </c>
      <c r="D212" s="30">
        <v>41908</v>
      </c>
      <c r="E212" s="21" t="s">
        <v>1211</v>
      </c>
      <c r="G212" s="764" t="s">
        <v>1212</v>
      </c>
      <c r="H212" s="21" t="s">
        <v>1213</v>
      </c>
      <c r="I212" s="21" t="s">
        <v>18</v>
      </c>
      <c r="J212" s="21" t="s">
        <v>51</v>
      </c>
      <c r="K212" s="21" t="s">
        <v>1214</v>
      </c>
      <c r="N212" s="50" t="s">
        <v>1215</v>
      </c>
      <c r="O212" s="1013">
        <f>2000+50</f>
        <v>2050</v>
      </c>
      <c r="Q212" s="21" t="s">
        <v>1216</v>
      </c>
      <c r="R212" s="876">
        <v>2</v>
      </c>
      <c r="S212" s="764" t="s">
        <v>199</v>
      </c>
      <c r="T212" s="764">
        <v>2</v>
      </c>
      <c r="U212" s="1841">
        <v>500</v>
      </c>
      <c r="V212" s="78">
        <v>41656</v>
      </c>
      <c r="W212" s="21" t="s">
        <v>791</v>
      </c>
      <c r="X212" s="21" t="s">
        <v>1217</v>
      </c>
      <c r="Y212" s="2150"/>
      <c r="Z212" s="2150"/>
    </row>
    <row r="213" spans="1:26" s="21" customFormat="1" ht="12" customHeight="1">
      <c r="A213" s="21" t="s">
        <v>1218</v>
      </c>
      <c r="B213" s="21" t="s">
        <v>1219</v>
      </c>
      <c r="C213" s="30">
        <v>41909</v>
      </c>
      <c r="D213" s="30">
        <v>41916</v>
      </c>
      <c r="E213" s="21" t="s">
        <v>1220</v>
      </c>
      <c r="G213" s="764" t="s">
        <v>1221</v>
      </c>
      <c r="H213" s="21" t="s">
        <v>1222</v>
      </c>
      <c r="I213" s="21" t="s">
        <v>1223</v>
      </c>
      <c r="J213" s="21" t="s">
        <v>180</v>
      </c>
      <c r="K213" s="21" t="s">
        <v>1224</v>
      </c>
      <c r="L213" s="21" t="s">
        <v>1225</v>
      </c>
      <c r="N213" s="50"/>
      <c r="O213" s="1013">
        <f>990+42</f>
        <v>1032</v>
      </c>
      <c r="Q213" s="21" t="s">
        <v>1192</v>
      </c>
      <c r="R213" s="876">
        <v>1</v>
      </c>
      <c r="S213" s="764">
        <v>2</v>
      </c>
      <c r="T213" s="764">
        <v>2</v>
      </c>
      <c r="U213" s="1841">
        <v>250</v>
      </c>
      <c r="V213" s="78">
        <v>41660</v>
      </c>
      <c r="W213" s="21" t="s">
        <v>1227</v>
      </c>
      <c r="X213" s="21" t="s">
        <v>1154</v>
      </c>
      <c r="Y213" s="2150"/>
      <c r="Z213" s="2150"/>
    </row>
    <row r="214" spans="1:26" s="21" customFormat="1" ht="12" customHeight="1">
      <c r="A214" s="21" t="s">
        <v>1269</v>
      </c>
      <c r="B214" s="21" t="s">
        <v>264</v>
      </c>
      <c r="C214" s="30">
        <v>41916</v>
      </c>
      <c r="D214" s="30">
        <v>41923</v>
      </c>
      <c r="E214" s="21" t="s">
        <v>1270</v>
      </c>
      <c r="G214" s="764">
        <v>5712</v>
      </c>
      <c r="H214" s="21" t="s">
        <v>1271</v>
      </c>
      <c r="I214" s="21" t="s">
        <v>168</v>
      </c>
      <c r="J214" s="21" t="s">
        <v>51</v>
      </c>
      <c r="K214" s="21" t="s">
        <v>1273</v>
      </c>
      <c r="L214" s="21" t="s">
        <v>1272</v>
      </c>
      <c r="N214" s="50" t="s">
        <v>1274</v>
      </c>
      <c r="O214" s="1013">
        <f>890+70</f>
        <v>960</v>
      </c>
      <c r="Q214" s="21" t="s">
        <v>1275</v>
      </c>
      <c r="R214" s="876">
        <v>1</v>
      </c>
      <c r="S214" s="764">
        <v>5</v>
      </c>
      <c r="T214" s="764">
        <v>0</v>
      </c>
      <c r="U214" s="1841">
        <v>960</v>
      </c>
      <c r="V214" s="78"/>
      <c r="Y214" s="2150"/>
      <c r="Z214" s="2150"/>
    </row>
    <row r="215" spans="1:26" s="21" customFormat="1" ht="12" customHeight="1">
      <c r="A215" s="21" t="s">
        <v>1294</v>
      </c>
      <c r="B215" s="21" t="s">
        <v>1293</v>
      </c>
      <c r="C215" s="30">
        <v>41951</v>
      </c>
      <c r="D215" s="30">
        <v>41866</v>
      </c>
      <c r="E215" s="21" t="s">
        <v>1295</v>
      </c>
      <c r="G215" s="764" t="s">
        <v>1296</v>
      </c>
      <c r="H215" s="21" t="s">
        <v>1297</v>
      </c>
      <c r="I215" s="21" t="s">
        <v>168</v>
      </c>
      <c r="J215" s="21" t="s">
        <v>51</v>
      </c>
      <c r="L215" s="21" t="s">
        <v>1298</v>
      </c>
      <c r="N215" s="50"/>
      <c r="O215" s="1013">
        <f>790+60</f>
        <v>850</v>
      </c>
      <c r="Q215" s="21" t="s">
        <v>1300</v>
      </c>
      <c r="R215" s="876">
        <v>1</v>
      </c>
      <c r="S215" s="764">
        <v>2</v>
      </c>
      <c r="T215" s="764">
        <v>3</v>
      </c>
      <c r="U215" s="1841"/>
      <c r="V215" s="78">
        <v>41917</v>
      </c>
      <c r="W215" s="21" t="s">
        <v>1301</v>
      </c>
      <c r="X215" s="21" t="s">
        <v>1154</v>
      </c>
      <c r="Y215" s="2150"/>
      <c r="Z215" s="2150"/>
    </row>
    <row r="216" spans="1:26" s="102" customFormat="1" ht="12" customHeight="1">
      <c r="A216" s="102" t="s">
        <v>775</v>
      </c>
      <c r="B216" s="102" t="s">
        <v>829</v>
      </c>
      <c r="C216" s="103">
        <v>41916</v>
      </c>
      <c r="D216" s="103">
        <v>41930</v>
      </c>
      <c r="E216" s="102" t="s">
        <v>773</v>
      </c>
      <c r="G216" s="816" t="s">
        <v>774</v>
      </c>
      <c r="H216" s="102" t="s">
        <v>772</v>
      </c>
      <c r="I216" s="102" t="s">
        <v>168</v>
      </c>
      <c r="J216" s="102" t="s">
        <v>51</v>
      </c>
      <c r="K216" s="102" t="s">
        <v>1171</v>
      </c>
      <c r="L216" s="102" t="s">
        <v>777</v>
      </c>
      <c r="N216" s="108" t="s">
        <v>776</v>
      </c>
      <c r="O216" s="1024">
        <v>0</v>
      </c>
      <c r="Q216" s="102" t="s">
        <v>1184</v>
      </c>
      <c r="R216" s="884">
        <v>0</v>
      </c>
      <c r="S216" s="816">
        <v>5</v>
      </c>
      <c r="T216" s="816"/>
      <c r="U216" s="1848">
        <v>420</v>
      </c>
      <c r="V216" s="106">
        <v>41542</v>
      </c>
      <c r="W216" s="102" t="s">
        <v>1170</v>
      </c>
      <c r="X216" s="102" t="s">
        <v>1154</v>
      </c>
      <c r="Y216" s="2155"/>
      <c r="Z216" s="2155"/>
    </row>
    <row r="217" spans="1:26" s="21" customFormat="1" ht="12" customHeight="1">
      <c r="A217" s="21" t="s">
        <v>1330</v>
      </c>
      <c r="B217" s="21" t="s">
        <v>1331</v>
      </c>
      <c r="C217" s="30">
        <v>42001</v>
      </c>
      <c r="D217" s="30">
        <v>42022</v>
      </c>
      <c r="E217" s="21" t="s">
        <v>1332</v>
      </c>
      <c r="G217" s="764" t="s">
        <v>1333</v>
      </c>
      <c r="H217" s="21" t="s">
        <v>1334</v>
      </c>
      <c r="I217" s="21" t="s">
        <v>18</v>
      </c>
      <c r="J217" s="21" t="s">
        <v>51</v>
      </c>
      <c r="L217" s="21" t="s">
        <v>1335</v>
      </c>
      <c r="N217" s="50" t="s">
        <v>1336</v>
      </c>
      <c r="O217" s="1013">
        <f>960+180</f>
        <v>1140</v>
      </c>
      <c r="Q217" s="21" t="s">
        <v>1337</v>
      </c>
      <c r="R217" s="876">
        <v>1</v>
      </c>
      <c r="S217" s="764">
        <v>2</v>
      </c>
      <c r="T217" s="764">
        <v>3</v>
      </c>
      <c r="U217" s="1841"/>
      <c r="V217" s="78">
        <v>41962</v>
      </c>
      <c r="W217" s="21" t="s">
        <v>1338</v>
      </c>
      <c r="X217" s="21" t="s">
        <v>1217</v>
      </c>
      <c r="Y217" s="2150"/>
      <c r="Z217" s="2150"/>
    </row>
    <row r="218" spans="1:26" ht="12" customHeight="1">
      <c r="K218" s="817"/>
      <c r="N218" s="49"/>
      <c r="O218" s="1014"/>
      <c r="U218" s="1845"/>
      <c r="X218" s="814"/>
    </row>
    <row r="219" spans="1:26" ht="12" customHeight="1">
      <c r="N219" s="49"/>
      <c r="O219" s="1014"/>
      <c r="U219" s="1845"/>
    </row>
    <row r="220" spans="1:26" ht="12" customHeight="1">
      <c r="N220" s="49"/>
      <c r="O220" s="1014"/>
      <c r="U220" s="1845"/>
    </row>
    <row r="221" spans="1:26" ht="12" customHeight="1">
      <c r="N221" s="49"/>
      <c r="O221" s="1014"/>
      <c r="U221" s="1845"/>
    </row>
    <row r="222" spans="1:26" ht="12" customHeight="1">
      <c r="N222" s="49"/>
      <c r="O222" s="1014"/>
      <c r="U222" s="1845"/>
    </row>
    <row r="223" spans="1:26" ht="12" customHeight="1">
      <c r="N223" s="49"/>
      <c r="O223" s="1014"/>
      <c r="U223" s="1845"/>
    </row>
    <row r="224" spans="1:26" ht="12" customHeight="1">
      <c r="A224" s="10"/>
      <c r="N224" s="49"/>
      <c r="O224" s="1014"/>
      <c r="U224" s="1822"/>
    </row>
    <row r="225" spans="1:21" ht="12" customHeight="1">
      <c r="H225" s="808"/>
      <c r="N225" s="49"/>
      <c r="O225" s="1014"/>
      <c r="U225" s="1845"/>
    </row>
    <row r="226" spans="1:21" ht="12" customHeight="1">
      <c r="A226" s="809"/>
      <c r="N226" s="49"/>
      <c r="O226" s="1014"/>
      <c r="U226" s="1822"/>
    </row>
    <row r="227" spans="1:21" ht="12" customHeight="1">
      <c r="A227" s="809"/>
      <c r="E227" s="811"/>
      <c r="N227" s="49"/>
      <c r="O227" s="1014"/>
      <c r="U227" s="1822"/>
    </row>
    <row r="228" spans="1:21" ht="12" customHeight="1">
      <c r="A228" s="809"/>
      <c r="E228" s="811"/>
      <c r="N228" s="49"/>
      <c r="O228" s="1014"/>
      <c r="U228" s="1845"/>
    </row>
    <row r="229" spans="1:21" ht="12" customHeight="1">
      <c r="A229" s="49"/>
      <c r="E229" s="811"/>
      <c r="N229" s="49"/>
      <c r="O229" s="1014"/>
      <c r="U229" s="1822"/>
    </row>
    <row r="230" spans="1:21" ht="12" customHeight="1">
      <c r="A230" s="49"/>
      <c r="N230" s="49"/>
      <c r="O230" s="1014"/>
      <c r="U230" s="1846"/>
    </row>
    <row r="231" spans="1:21" ht="12" customHeight="1">
      <c r="A231" s="10"/>
      <c r="N231" s="49"/>
      <c r="O231" s="1014"/>
      <c r="U231" s="1846"/>
    </row>
    <row r="232" spans="1:21" ht="12" customHeight="1">
      <c r="N232" s="73"/>
      <c r="O232" s="1014"/>
      <c r="U232" s="1847"/>
    </row>
    <row r="233" spans="1:21" ht="12" customHeight="1">
      <c r="E233" s="811"/>
      <c r="L233" s="814">
        <f>O221-U221</f>
        <v>0</v>
      </c>
      <c r="N233" s="73"/>
      <c r="O233" s="1014"/>
      <c r="S233" s="132">
        <f>O223-U223</f>
        <v>0</v>
      </c>
      <c r="U233" s="1822"/>
    </row>
    <row r="234" spans="1:21" ht="12" customHeight="1">
      <c r="N234" s="49"/>
      <c r="O234" s="1014"/>
      <c r="U234" s="1822"/>
    </row>
    <row r="235" spans="1:21" ht="12" customHeight="1">
      <c r="E235" s="811"/>
      <c r="N235" s="49"/>
      <c r="O235" s="1014"/>
      <c r="U235" s="1849"/>
    </row>
    <row r="236" spans="1:21" ht="12" customHeight="1">
      <c r="N236" s="49"/>
      <c r="O236" s="1014"/>
      <c r="U236" s="1822"/>
    </row>
    <row r="237" spans="1:21" ht="12" customHeight="1">
      <c r="N237" s="49"/>
      <c r="O237" s="1014"/>
      <c r="U237" s="1822"/>
    </row>
    <row r="238" spans="1:21" ht="12" customHeight="1">
      <c r="N238" s="49"/>
      <c r="O238" s="1014"/>
      <c r="U238" s="1822"/>
    </row>
    <row r="239" spans="1:21" ht="12" customHeight="1">
      <c r="A239" s="7"/>
      <c r="B239" s="7"/>
      <c r="C239" s="29"/>
      <c r="D239" s="29"/>
      <c r="F239" s="7"/>
      <c r="G239" s="133"/>
      <c r="H239" s="7"/>
      <c r="I239" s="7"/>
      <c r="J239" s="7"/>
      <c r="K239" s="7"/>
      <c r="L239" s="7"/>
      <c r="M239" s="7"/>
      <c r="N239" s="7"/>
      <c r="O239" s="1012"/>
      <c r="P239" s="7"/>
      <c r="S239" s="133"/>
      <c r="T239" s="133"/>
      <c r="U239" s="1819"/>
    </row>
    <row r="240" spans="1:21" ht="12" customHeight="1" thickBot="1">
      <c r="A240" s="7"/>
      <c r="B240" s="773"/>
      <c r="C240" s="29"/>
      <c r="D240" s="29"/>
      <c r="F240" s="7"/>
      <c r="G240" s="133"/>
      <c r="H240" s="7"/>
      <c r="I240" s="7"/>
      <c r="J240" s="7"/>
      <c r="K240" s="7"/>
      <c r="L240" s="7"/>
      <c r="M240" s="7"/>
      <c r="N240" s="7"/>
      <c r="O240" s="1012"/>
      <c r="P240" s="7"/>
      <c r="S240" s="133"/>
      <c r="T240" s="133"/>
      <c r="U240" s="1819"/>
    </row>
    <row r="241" spans="1:26" ht="12" customHeight="1" thickBot="1">
      <c r="A241" s="18" t="s">
        <v>1155</v>
      </c>
      <c r="B241" s="767">
        <f>SUM(O198:O241)</f>
        <v>28775</v>
      </c>
      <c r="C241" s="804">
        <f>B241/B185</f>
        <v>0.97364146985179667</v>
      </c>
      <c r="D241" s="791" t="s">
        <v>574</v>
      </c>
      <c r="E241" s="782"/>
      <c r="F241" s="7"/>
      <c r="G241" s="133"/>
      <c r="H241" s="7"/>
      <c r="I241" s="7"/>
      <c r="J241" s="7"/>
      <c r="K241" s="7"/>
      <c r="L241" s="7"/>
      <c r="M241" s="7"/>
      <c r="N241" s="7"/>
      <c r="O241" s="1012"/>
      <c r="P241" s="7"/>
      <c r="S241" s="133"/>
      <c r="T241" s="133"/>
      <c r="U241" s="1819"/>
    </row>
    <row r="242" spans="1:26" ht="12" customHeight="1" thickBot="1">
      <c r="A242" s="768" t="s">
        <v>463</v>
      </c>
      <c r="B242" s="769">
        <f>SUM(R182:R241)</f>
        <v>25</v>
      </c>
      <c r="C242" s="783">
        <f>B241/B242</f>
        <v>1151</v>
      </c>
      <c r="D242" s="17" t="s">
        <v>575</v>
      </c>
      <c r="E242" s="13"/>
      <c r="F242" s="7"/>
      <c r="G242" s="133"/>
      <c r="H242" s="7"/>
      <c r="I242" s="7"/>
      <c r="J242" s="7"/>
      <c r="K242" s="7"/>
      <c r="L242" s="7"/>
      <c r="M242" s="7"/>
      <c r="N242" s="7"/>
      <c r="O242" s="1012"/>
      <c r="P242" s="7"/>
      <c r="S242" s="133"/>
      <c r="T242" s="133"/>
      <c r="U242" s="1819"/>
    </row>
    <row r="243" spans="1:26" ht="12" customHeight="1" thickBot="1">
      <c r="A243" s="7"/>
      <c r="B243" s="7"/>
      <c r="C243" s="29"/>
      <c r="D243" s="17" t="s">
        <v>576</v>
      </c>
      <c r="E243" s="13"/>
      <c r="F243" s="7"/>
      <c r="G243" s="133"/>
      <c r="H243" s="7"/>
      <c r="I243" s="7"/>
      <c r="J243" s="7"/>
      <c r="K243" s="7"/>
      <c r="L243" s="7"/>
      <c r="M243" s="7"/>
      <c r="N243" s="7"/>
      <c r="O243" s="1012"/>
      <c r="P243" s="7"/>
      <c r="S243" s="133"/>
      <c r="T243" s="133"/>
      <c r="U243" s="1819"/>
    </row>
    <row r="244" spans="1:26" ht="12" customHeight="1" thickBot="1">
      <c r="A244" s="771" t="s">
        <v>464</v>
      </c>
      <c r="B244" s="772">
        <f>537.56*12</f>
        <v>6450.7199999999993</v>
      </c>
      <c r="C244" s="29"/>
      <c r="D244" s="17" t="s">
        <v>677</v>
      </c>
      <c r="E244" s="13"/>
      <c r="F244" s="7"/>
      <c r="G244" s="133"/>
      <c r="H244" s="7"/>
      <c r="I244" s="7"/>
      <c r="J244" s="7"/>
      <c r="K244" s="7"/>
      <c r="L244" s="7"/>
      <c r="M244" s="7"/>
      <c r="N244" s="7"/>
      <c r="O244" s="1012"/>
      <c r="P244" s="7"/>
      <c r="S244" s="133"/>
      <c r="T244" s="133"/>
      <c r="U244" s="1819"/>
    </row>
    <row r="245" spans="1:26" ht="12" customHeight="1" thickBot="1">
      <c r="A245" s="7"/>
      <c r="B245" s="7"/>
      <c r="C245" s="29"/>
      <c r="D245" s="17" t="s">
        <v>577</v>
      </c>
      <c r="E245" s="13"/>
      <c r="F245" s="7"/>
      <c r="G245" s="133"/>
      <c r="H245" s="7"/>
      <c r="I245" s="7"/>
      <c r="J245" s="7"/>
      <c r="K245" s="7"/>
      <c r="L245" s="7"/>
      <c r="M245" s="7"/>
      <c r="N245" s="7"/>
      <c r="O245" s="1012"/>
      <c r="P245" s="7"/>
      <c r="S245" s="133"/>
      <c r="T245" s="133"/>
      <c r="U245" s="1819"/>
    </row>
    <row r="246" spans="1:26" ht="12" customHeight="1" thickBot="1">
      <c r="A246" s="18" t="s">
        <v>1236</v>
      </c>
      <c r="B246" s="799">
        <f>B241-B244-E247</f>
        <v>22324.28</v>
      </c>
      <c r="C246" s="29"/>
      <c r="D246" s="786" t="s">
        <v>578</v>
      </c>
      <c r="E246" s="541"/>
      <c r="F246" s="7"/>
      <c r="G246" s="133"/>
      <c r="H246" s="7"/>
      <c r="I246" s="7"/>
      <c r="J246" s="7"/>
      <c r="K246" s="7"/>
      <c r="L246" s="773"/>
      <c r="M246" s="7"/>
      <c r="N246" s="7"/>
      <c r="O246" s="1012"/>
      <c r="P246" s="7"/>
      <c r="S246" s="133"/>
      <c r="T246" s="133"/>
      <c r="U246" s="1819"/>
    </row>
    <row r="247" spans="1:26" ht="12" customHeight="1" thickBot="1">
      <c r="A247" s="768" t="s">
        <v>466</v>
      </c>
      <c r="B247" s="800">
        <f>B241/12</f>
        <v>2397.9166666666665</v>
      </c>
      <c r="C247" s="29"/>
      <c r="D247" s="801" t="s">
        <v>585</v>
      </c>
      <c r="E247" s="789">
        <f>SUM(E242:E246)</f>
        <v>0</v>
      </c>
      <c r="F247" s="7"/>
      <c r="G247" s="133"/>
      <c r="H247" s="7"/>
      <c r="I247" s="7"/>
      <c r="J247" s="7"/>
      <c r="K247" s="7"/>
      <c r="L247" s="7"/>
      <c r="M247" s="7"/>
      <c r="N247" s="7"/>
      <c r="O247" s="1012"/>
      <c r="P247" s="7"/>
      <c r="S247" s="133"/>
      <c r="T247" s="133"/>
      <c r="U247" s="1819"/>
    </row>
    <row r="248" spans="1:26" ht="12" customHeight="1" thickBot="1">
      <c r="A248" s="519"/>
      <c r="B248" s="778"/>
      <c r="C248" s="819"/>
      <c r="D248" s="819"/>
      <c r="E248" s="778"/>
      <c r="F248" s="778"/>
      <c r="G248" s="779"/>
      <c r="H248" s="778"/>
      <c r="I248" s="778"/>
      <c r="J248" s="778"/>
      <c r="K248" s="778"/>
      <c r="L248" s="778"/>
      <c r="M248" s="778"/>
      <c r="N248" s="778"/>
      <c r="O248" s="1025"/>
      <c r="P248" s="778"/>
      <c r="Q248" s="778"/>
      <c r="R248" s="877"/>
      <c r="S248" s="779"/>
      <c r="T248" s="779"/>
      <c r="U248" s="1850"/>
    </row>
    <row r="249" spans="1:26" ht="12" customHeight="1">
      <c r="O249" s="1014"/>
    </row>
    <row r="250" spans="1:26" ht="12" customHeight="1">
      <c r="A250" s="9" t="s">
        <v>1302</v>
      </c>
      <c r="B250" s="773"/>
      <c r="C250" s="29"/>
      <c r="D250" s="29"/>
      <c r="E250" s="7"/>
      <c r="F250" s="7"/>
      <c r="G250" s="133"/>
      <c r="H250" s="7"/>
      <c r="I250" s="7"/>
      <c r="J250" s="7"/>
      <c r="K250" s="7"/>
      <c r="L250" s="7"/>
      <c r="M250" s="7"/>
      <c r="N250" s="7"/>
      <c r="O250" s="1012"/>
      <c r="P250" s="7"/>
      <c r="S250" s="133"/>
      <c r="T250" s="133"/>
      <c r="U250" s="1819"/>
    </row>
    <row r="251" spans="1:26" ht="12" customHeight="1">
      <c r="N251" s="49"/>
      <c r="O251" s="1014"/>
      <c r="U251" s="1845"/>
    </row>
    <row r="252" spans="1:26" s="21" customFormat="1" ht="12" customHeight="1">
      <c r="A252" s="21" t="s">
        <v>1330</v>
      </c>
      <c r="B252" s="21" t="s">
        <v>1331</v>
      </c>
      <c r="C252" s="30">
        <v>42001</v>
      </c>
      <c r="D252" s="30">
        <v>42022</v>
      </c>
      <c r="E252" s="21" t="s">
        <v>1332</v>
      </c>
      <c r="G252" s="764" t="s">
        <v>1333</v>
      </c>
      <c r="H252" s="21" t="s">
        <v>1334</v>
      </c>
      <c r="I252" s="21" t="s">
        <v>18</v>
      </c>
      <c r="J252" s="21" t="s">
        <v>51</v>
      </c>
      <c r="L252" s="21" t="s">
        <v>1335</v>
      </c>
      <c r="N252" s="50" t="s">
        <v>1339</v>
      </c>
      <c r="O252" s="1013">
        <f>2200-960</f>
        <v>1240</v>
      </c>
      <c r="Q252" s="21" t="s">
        <v>1337</v>
      </c>
      <c r="R252" s="876">
        <v>2</v>
      </c>
      <c r="S252" s="764">
        <v>2</v>
      </c>
      <c r="T252" s="764">
        <v>3</v>
      </c>
      <c r="U252" s="1841"/>
      <c r="V252" s="78">
        <v>41962</v>
      </c>
      <c r="W252" s="21" t="s">
        <v>1338</v>
      </c>
      <c r="X252" s="21" t="s">
        <v>1217</v>
      </c>
      <c r="Y252" s="2150"/>
      <c r="Z252" s="2150"/>
    </row>
    <row r="253" spans="1:26" s="21" customFormat="1" ht="12" customHeight="1">
      <c r="A253" s="21" t="s">
        <v>1396</v>
      </c>
      <c r="B253" s="21" t="s">
        <v>1395</v>
      </c>
      <c r="C253" s="30">
        <v>42042</v>
      </c>
      <c r="D253" s="30">
        <v>42049</v>
      </c>
      <c r="E253" s="21" t="s">
        <v>1397</v>
      </c>
      <c r="G253" s="764">
        <v>72100</v>
      </c>
      <c r="H253" s="21" t="s">
        <v>1398</v>
      </c>
      <c r="I253" s="21" t="s">
        <v>23</v>
      </c>
      <c r="J253" s="21" t="s">
        <v>19</v>
      </c>
      <c r="K253" s="21" t="s">
        <v>1399</v>
      </c>
      <c r="L253" s="21" t="s">
        <v>1400</v>
      </c>
      <c r="N253" s="50"/>
      <c r="O253" s="1013">
        <f>690+70</f>
        <v>760</v>
      </c>
      <c r="Q253" s="21" t="s">
        <v>1401</v>
      </c>
      <c r="R253" s="876">
        <v>1</v>
      </c>
      <c r="S253" s="764">
        <v>4</v>
      </c>
      <c r="T253" s="764">
        <v>0</v>
      </c>
      <c r="U253" s="1841">
        <v>175</v>
      </c>
      <c r="V253" s="78">
        <v>42032</v>
      </c>
      <c r="W253" s="21" t="s">
        <v>1281</v>
      </c>
      <c r="X253" s="21" t="s">
        <v>1154</v>
      </c>
      <c r="Y253" s="2150"/>
      <c r="Z253" s="2150"/>
    </row>
    <row r="254" spans="1:26" s="21" customFormat="1" ht="12" customHeight="1">
      <c r="A254" s="21" t="s">
        <v>1363</v>
      </c>
      <c r="B254" s="21" t="s">
        <v>1364</v>
      </c>
      <c r="C254" s="30">
        <v>42049</v>
      </c>
      <c r="D254" s="30">
        <v>42056</v>
      </c>
      <c r="E254" s="21" t="s">
        <v>1365</v>
      </c>
      <c r="G254" s="764" t="s">
        <v>1366</v>
      </c>
      <c r="H254" s="21" t="s">
        <v>1367</v>
      </c>
      <c r="I254" s="21" t="s">
        <v>18</v>
      </c>
      <c r="J254" s="21" t="s">
        <v>51</v>
      </c>
      <c r="L254" s="21" t="s">
        <v>1368</v>
      </c>
      <c r="N254" s="50" t="s">
        <v>1369</v>
      </c>
      <c r="O254" s="1013">
        <f>690+21+30</f>
        <v>741</v>
      </c>
      <c r="R254" s="876">
        <v>1</v>
      </c>
      <c r="S254" s="764" t="s">
        <v>1410</v>
      </c>
      <c r="T254" s="764">
        <v>1</v>
      </c>
      <c r="U254" s="1841">
        <v>200</v>
      </c>
      <c r="V254" s="78">
        <v>42009</v>
      </c>
      <c r="X254" s="21" t="s">
        <v>1154</v>
      </c>
      <c r="Y254" s="2150"/>
      <c r="Z254" s="2150"/>
    </row>
    <row r="255" spans="1:26" s="21" customFormat="1" ht="12" customHeight="1">
      <c r="A255" s="21" t="s">
        <v>1391</v>
      </c>
      <c r="B255" s="21" t="s">
        <v>1392</v>
      </c>
      <c r="C255" s="30">
        <v>42063</v>
      </c>
      <c r="D255" s="30">
        <v>42070</v>
      </c>
      <c r="G255" s="764"/>
      <c r="I255" s="21" t="s">
        <v>23</v>
      </c>
      <c r="J255" s="21" t="s">
        <v>19</v>
      </c>
      <c r="K255" s="21" t="s">
        <v>1393</v>
      </c>
      <c r="N255" s="50" t="s">
        <v>1394</v>
      </c>
      <c r="O255" s="1013">
        <v>600</v>
      </c>
      <c r="Q255" s="21">
        <v>0</v>
      </c>
      <c r="R255" s="876">
        <v>1</v>
      </c>
      <c r="S255" s="764">
        <v>4</v>
      </c>
      <c r="T255" s="764">
        <v>0</v>
      </c>
      <c r="U255" s="1841">
        <v>150</v>
      </c>
      <c r="V255" s="78">
        <v>42024</v>
      </c>
      <c r="W255" s="21" t="s">
        <v>1281</v>
      </c>
      <c r="X255" s="21" t="s">
        <v>1217</v>
      </c>
      <c r="Y255" s="2150"/>
      <c r="Z255" s="2150"/>
    </row>
    <row r="256" spans="1:26" s="21" customFormat="1" ht="12" customHeight="1">
      <c r="A256" s="21" t="s">
        <v>527</v>
      </c>
      <c r="B256" s="21" t="s">
        <v>857</v>
      </c>
      <c r="C256" s="30">
        <v>42081</v>
      </c>
      <c r="D256" s="30">
        <v>42095</v>
      </c>
      <c r="E256" s="21" t="s">
        <v>1421</v>
      </c>
      <c r="G256" s="764" t="s">
        <v>1422</v>
      </c>
      <c r="H256" s="21" t="s">
        <v>1423</v>
      </c>
      <c r="I256" s="21" t="s">
        <v>18</v>
      </c>
      <c r="J256" s="21" t="s">
        <v>51</v>
      </c>
      <c r="K256" s="21" t="s">
        <v>1424</v>
      </c>
      <c r="N256" s="50"/>
      <c r="O256" s="1013">
        <f>690*2</f>
        <v>1380</v>
      </c>
      <c r="Q256" s="21">
        <v>1</v>
      </c>
      <c r="R256" s="876">
        <v>2</v>
      </c>
      <c r="S256" s="764">
        <v>2</v>
      </c>
      <c r="T256" s="764">
        <v>1</v>
      </c>
      <c r="U256" s="1841">
        <v>345</v>
      </c>
      <c r="V256" s="78">
        <v>42055</v>
      </c>
      <c r="W256" s="21" t="s">
        <v>791</v>
      </c>
      <c r="X256" s="21" t="s">
        <v>1154</v>
      </c>
      <c r="Y256" s="2150"/>
      <c r="Z256" s="2150"/>
    </row>
    <row r="257" spans="1:26" s="21" customFormat="1" ht="12" customHeight="1">
      <c r="A257" s="21" t="s">
        <v>1347</v>
      </c>
      <c r="B257" s="21" t="s">
        <v>1346</v>
      </c>
      <c r="C257" s="30">
        <v>42098</v>
      </c>
      <c r="D257" s="30">
        <v>42112</v>
      </c>
      <c r="E257" s="21" t="s">
        <v>1349</v>
      </c>
      <c r="G257" s="764" t="s">
        <v>1350</v>
      </c>
      <c r="H257" s="21" t="s">
        <v>300</v>
      </c>
      <c r="I257" s="21" t="s">
        <v>54</v>
      </c>
      <c r="J257" s="21" t="s">
        <v>19</v>
      </c>
      <c r="K257" s="21" t="s">
        <v>1351</v>
      </c>
      <c r="L257" s="21" t="s">
        <v>1352</v>
      </c>
      <c r="N257" s="51" t="s">
        <v>1344</v>
      </c>
      <c r="O257" s="1013">
        <f>790+790</f>
        <v>1580</v>
      </c>
      <c r="Q257" s="21" t="s">
        <v>1348</v>
      </c>
      <c r="R257" s="876">
        <v>2</v>
      </c>
      <c r="S257" s="764" t="s">
        <v>1353</v>
      </c>
      <c r="T257" s="764">
        <v>0</v>
      </c>
      <c r="U257" s="1841">
        <v>395</v>
      </c>
      <c r="V257" s="78">
        <v>41968</v>
      </c>
      <c r="W257" s="78" t="s">
        <v>1345</v>
      </c>
      <c r="X257" s="21" t="s">
        <v>1154</v>
      </c>
      <c r="Y257" s="2150"/>
      <c r="Z257" s="2150"/>
    </row>
    <row r="258" spans="1:26" s="21" customFormat="1" ht="12" customHeight="1">
      <c r="A258" s="21" t="s">
        <v>1340</v>
      </c>
      <c r="B258" s="21" t="s">
        <v>1341</v>
      </c>
      <c r="C258" s="30">
        <v>42119</v>
      </c>
      <c r="D258" s="30">
        <v>42126</v>
      </c>
      <c r="E258" s="21" t="s">
        <v>1370</v>
      </c>
      <c r="G258" s="764">
        <v>80560</v>
      </c>
      <c r="H258" s="21" t="s">
        <v>1371</v>
      </c>
      <c r="I258" s="21" t="s">
        <v>23</v>
      </c>
      <c r="J258" s="21" t="s">
        <v>19</v>
      </c>
      <c r="K258" s="21" t="s">
        <v>1373</v>
      </c>
      <c r="L258" s="21" t="s">
        <v>1372</v>
      </c>
      <c r="N258" s="50" t="s">
        <v>1342</v>
      </c>
      <c r="O258" s="1013">
        <v>790</v>
      </c>
      <c r="Q258" s="21" t="s">
        <v>1343</v>
      </c>
      <c r="R258" s="876">
        <v>1</v>
      </c>
      <c r="S258" s="764" t="s">
        <v>1374</v>
      </c>
      <c r="T258" s="764">
        <v>0</v>
      </c>
      <c r="U258" s="1841">
        <v>197.5</v>
      </c>
      <c r="V258" s="78">
        <v>42333</v>
      </c>
      <c r="W258" s="21" t="s">
        <v>1281</v>
      </c>
      <c r="X258" s="21" t="s">
        <v>1154</v>
      </c>
      <c r="Y258" s="2150"/>
      <c r="Z258" s="2150"/>
    </row>
    <row r="259" spans="1:26" s="21" customFormat="1" ht="12" customHeight="1">
      <c r="A259" s="21" t="s">
        <v>1403</v>
      </c>
      <c r="B259" s="21" t="s">
        <v>1404</v>
      </c>
      <c r="C259" s="30">
        <v>42126</v>
      </c>
      <c r="D259" s="30">
        <v>42133</v>
      </c>
      <c r="E259" s="21" t="s">
        <v>1405</v>
      </c>
      <c r="G259" s="764">
        <v>59740</v>
      </c>
      <c r="H259" s="21" t="s">
        <v>1406</v>
      </c>
      <c r="I259" s="21" t="s">
        <v>23</v>
      </c>
      <c r="J259" s="21" t="s">
        <v>19</v>
      </c>
      <c r="K259" s="21" t="s">
        <v>1407</v>
      </c>
      <c r="L259" s="21" t="s">
        <v>1408</v>
      </c>
      <c r="N259" s="50" t="s">
        <v>1409</v>
      </c>
      <c r="O259" s="1013">
        <v>790</v>
      </c>
      <c r="R259" s="876">
        <v>1</v>
      </c>
      <c r="S259" s="764" t="s">
        <v>1411</v>
      </c>
      <c r="T259" s="764"/>
      <c r="U259" s="1841">
        <v>198</v>
      </c>
      <c r="V259" s="78">
        <v>42043</v>
      </c>
      <c r="X259" s="21" t="s">
        <v>1154</v>
      </c>
      <c r="Y259" s="2150"/>
      <c r="Z259" s="2150"/>
    </row>
    <row r="260" spans="1:26" s="21" customFormat="1" ht="12" customHeight="1">
      <c r="A260" s="21" t="s">
        <v>1385</v>
      </c>
      <c r="B260" s="21" t="s">
        <v>1384</v>
      </c>
      <c r="C260" s="30">
        <v>42133</v>
      </c>
      <c r="D260" s="30">
        <v>42147</v>
      </c>
      <c r="E260" s="21" t="s">
        <v>1386</v>
      </c>
      <c r="G260" s="764"/>
      <c r="H260" s="21" t="s">
        <v>1387</v>
      </c>
      <c r="I260" s="21" t="s">
        <v>884</v>
      </c>
      <c r="J260" s="21" t="s">
        <v>180</v>
      </c>
      <c r="L260" s="21" t="s">
        <v>1388</v>
      </c>
      <c r="N260" s="50" t="s">
        <v>1389</v>
      </c>
      <c r="O260" s="1013">
        <f>790+790+3*4*14</f>
        <v>1748</v>
      </c>
      <c r="Q260" s="21" t="s">
        <v>1390</v>
      </c>
      <c r="R260" s="876">
        <v>2</v>
      </c>
      <c r="S260" s="764" t="s">
        <v>1300</v>
      </c>
      <c r="T260" s="764">
        <v>3</v>
      </c>
      <c r="U260" s="1841">
        <v>395</v>
      </c>
      <c r="V260" s="78">
        <v>42011</v>
      </c>
      <c r="W260" s="21" t="s">
        <v>1329</v>
      </c>
      <c r="Y260" s="2150"/>
      <c r="Z260" s="2150"/>
    </row>
    <row r="261" spans="1:26" s="21" customFormat="1" ht="12" customHeight="1">
      <c r="A261" s="21" t="s">
        <v>1305</v>
      </c>
      <c r="B261" s="21" t="s">
        <v>857</v>
      </c>
      <c r="C261" s="30">
        <v>42147</v>
      </c>
      <c r="D261" s="30">
        <v>42154</v>
      </c>
      <c r="E261" s="21" t="s">
        <v>1306</v>
      </c>
      <c r="G261" s="764" t="s">
        <v>1307</v>
      </c>
      <c r="H261" s="21" t="s">
        <v>1308</v>
      </c>
      <c r="I261" s="21" t="s">
        <v>18</v>
      </c>
      <c r="J261" s="21" t="s">
        <v>51</v>
      </c>
      <c r="K261" s="21" t="s">
        <v>1309</v>
      </c>
      <c r="L261" s="21" t="s">
        <v>1310</v>
      </c>
      <c r="N261" s="50" t="s">
        <v>1311</v>
      </c>
      <c r="O261" s="1013">
        <f>890+21</f>
        <v>911</v>
      </c>
      <c r="Q261" s="21" t="s">
        <v>1426</v>
      </c>
      <c r="R261" s="876">
        <v>1</v>
      </c>
      <c r="S261" s="764" t="s">
        <v>1312</v>
      </c>
      <c r="T261" s="764">
        <v>1</v>
      </c>
      <c r="U261" s="1841">
        <f>890/4</f>
        <v>222.5</v>
      </c>
      <c r="V261" s="78">
        <v>41924</v>
      </c>
      <c r="W261" s="21" t="s">
        <v>791</v>
      </c>
      <c r="X261" s="21" t="s">
        <v>1154</v>
      </c>
      <c r="Y261" s="2150"/>
      <c r="Z261" s="2150"/>
    </row>
    <row r="262" spans="1:26" s="21" customFormat="1" ht="12" customHeight="1">
      <c r="A262" s="21" t="s">
        <v>1375</v>
      </c>
      <c r="B262" s="21" t="s">
        <v>1376</v>
      </c>
      <c r="C262" s="30">
        <v>42154</v>
      </c>
      <c r="D262" s="30">
        <v>42168</v>
      </c>
      <c r="E262" s="21" t="s">
        <v>1377</v>
      </c>
      <c r="G262" s="764" t="s">
        <v>1378</v>
      </c>
      <c r="H262" s="21" t="s">
        <v>1379</v>
      </c>
      <c r="I262" s="21" t="s">
        <v>18</v>
      </c>
      <c r="J262" s="21" t="s">
        <v>51</v>
      </c>
      <c r="L262" s="21" t="s">
        <v>1380</v>
      </c>
      <c r="N262" s="50" t="s">
        <v>1381</v>
      </c>
      <c r="O262" s="1013">
        <f>990+1090+70+3*14*2</f>
        <v>2234</v>
      </c>
      <c r="Q262" s="21" t="s">
        <v>1383</v>
      </c>
      <c r="R262" s="876">
        <v>2</v>
      </c>
      <c r="S262" s="764" t="s">
        <v>1382</v>
      </c>
      <c r="T262" s="764">
        <v>2</v>
      </c>
      <c r="U262" s="1841">
        <f>2080/4</f>
        <v>520</v>
      </c>
      <c r="V262" s="78">
        <v>42011</v>
      </c>
      <c r="W262" s="21" t="s">
        <v>1338</v>
      </c>
      <c r="X262" s="21" t="s">
        <v>1154</v>
      </c>
      <c r="Y262" s="2150"/>
      <c r="Z262" s="2150"/>
    </row>
    <row r="263" spans="1:26" s="21" customFormat="1" ht="12" customHeight="1">
      <c r="A263" s="21" t="s">
        <v>1313</v>
      </c>
      <c r="B263" s="21" t="s">
        <v>1314</v>
      </c>
      <c r="C263" s="30">
        <v>42168</v>
      </c>
      <c r="D263" s="30">
        <v>42182</v>
      </c>
      <c r="E263" s="21" t="s">
        <v>1315</v>
      </c>
      <c r="G263" s="764" t="s">
        <v>1316</v>
      </c>
      <c r="H263" s="21" t="s">
        <v>1317</v>
      </c>
      <c r="I263" s="21" t="s">
        <v>18</v>
      </c>
      <c r="J263" s="21" t="s">
        <v>51</v>
      </c>
      <c r="K263" s="21" t="s">
        <v>1318</v>
      </c>
      <c r="L263" s="21" t="s">
        <v>1319</v>
      </c>
      <c r="N263" s="50" t="s">
        <v>1320</v>
      </c>
      <c r="O263" s="1013">
        <f>1190+1290</f>
        <v>2480</v>
      </c>
      <c r="Q263" s="21" t="s">
        <v>1321</v>
      </c>
      <c r="R263" s="876">
        <v>2</v>
      </c>
      <c r="S263" s="764" t="s">
        <v>199</v>
      </c>
      <c r="T263" s="764">
        <v>3</v>
      </c>
      <c r="U263" s="1841">
        <f>620</f>
        <v>620</v>
      </c>
      <c r="V263" s="78">
        <v>41828</v>
      </c>
      <c r="W263" s="21" t="s">
        <v>791</v>
      </c>
      <c r="X263" s="21" t="s">
        <v>1154</v>
      </c>
      <c r="Y263" s="2150"/>
      <c r="Z263" s="2150"/>
    </row>
    <row r="264" spans="1:26" s="67" customFormat="1" ht="12" customHeight="1">
      <c r="A264" s="67" t="s">
        <v>1322</v>
      </c>
      <c r="B264" s="67" t="s">
        <v>538</v>
      </c>
      <c r="C264" s="68">
        <v>42182</v>
      </c>
      <c r="D264" s="68">
        <v>42189</v>
      </c>
      <c r="E264" s="67" t="s">
        <v>1323</v>
      </c>
      <c r="G264" s="803" t="s">
        <v>1324</v>
      </c>
      <c r="H264" s="67" t="s">
        <v>1325</v>
      </c>
      <c r="I264" s="67" t="s">
        <v>18</v>
      </c>
      <c r="J264" s="67" t="s">
        <v>51</v>
      </c>
      <c r="K264" s="67" t="s">
        <v>1326</v>
      </c>
      <c r="L264" s="67" t="s">
        <v>1327</v>
      </c>
      <c r="N264" s="69"/>
      <c r="O264" s="1023">
        <f>1390-1040</f>
        <v>350</v>
      </c>
      <c r="Q264" s="67" t="s">
        <v>1192</v>
      </c>
      <c r="R264" s="883">
        <v>1</v>
      </c>
      <c r="S264" s="803" t="s">
        <v>199</v>
      </c>
      <c r="T264" s="803">
        <v>2</v>
      </c>
      <c r="U264" s="1843">
        <v>350</v>
      </c>
      <c r="V264" s="94">
        <v>41947</v>
      </c>
      <c r="W264" s="67" t="s">
        <v>1329</v>
      </c>
      <c r="X264" s="67" t="s">
        <v>1154</v>
      </c>
      <c r="Y264" s="2154"/>
      <c r="Z264" s="2154"/>
    </row>
    <row r="265" spans="1:26" s="21" customFormat="1" ht="12" customHeight="1">
      <c r="A265" s="21" t="s">
        <v>1442</v>
      </c>
      <c r="C265" s="30">
        <v>42203</v>
      </c>
      <c r="D265" s="30">
        <v>42210</v>
      </c>
      <c r="E265" s="21" t="s">
        <v>1443</v>
      </c>
      <c r="G265" s="764" t="s">
        <v>1444</v>
      </c>
      <c r="H265" s="21" t="s">
        <v>1445</v>
      </c>
      <c r="I265" s="21" t="s">
        <v>1446</v>
      </c>
      <c r="J265" s="21" t="s">
        <v>180</v>
      </c>
      <c r="L265" s="21" t="s">
        <v>1447</v>
      </c>
      <c r="N265" s="51" t="s">
        <v>1448</v>
      </c>
      <c r="O265" s="1013">
        <v>1790</v>
      </c>
      <c r="Q265" s="21" t="s">
        <v>1449</v>
      </c>
      <c r="R265" s="876">
        <v>1</v>
      </c>
      <c r="S265" s="764" t="s">
        <v>1362</v>
      </c>
      <c r="T265" s="764">
        <v>0</v>
      </c>
      <c r="U265" s="1841">
        <f>1790/4</f>
        <v>447.5</v>
      </c>
      <c r="V265" s="78">
        <v>42158</v>
      </c>
      <c r="W265" s="21" t="s">
        <v>1450</v>
      </c>
      <c r="X265" s="21" t="s">
        <v>1217</v>
      </c>
      <c r="Y265" s="2150"/>
      <c r="Z265" s="2150"/>
    </row>
    <row r="266" spans="1:26" s="21" customFormat="1" ht="12" customHeight="1">
      <c r="A266" s="21" t="s">
        <v>1427</v>
      </c>
      <c r="B266" s="21" t="s">
        <v>1428</v>
      </c>
      <c r="C266" s="30">
        <v>42210</v>
      </c>
      <c r="D266" s="30">
        <v>42217</v>
      </c>
      <c r="E266" s="21" t="s">
        <v>1429</v>
      </c>
      <c r="G266" s="764"/>
      <c r="I266" s="21" t="s">
        <v>884</v>
      </c>
      <c r="J266" s="21" t="s">
        <v>180</v>
      </c>
      <c r="L266" s="21" t="s">
        <v>1430</v>
      </c>
      <c r="N266" s="50" t="s">
        <v>1431</v>
      </c>
      <c r="O266" s="1013">
        <v>1990</v>
      </c>
      <c r="Q266" s="21" t="s">
        <v>1432</v>
      </c>
      <c r="R266" s="876">
        <v>1</v>
      </c>
      <c r="S266" s="764">
        <v>4</v>
      </c>
      <c r="T266" s="764">
        <v>1</v>
      </c>
      <c r="U266" s="1841">
        <v>500</v>
      </c>
      <c r="V266" s="78">
        <v>42085</v>
      </c>
      <c r="X266" s="21" t="s">
        <v>1154</v>
      </c>
      <c r="Y266" s="2150"/>
      <c r="Z266" s="2150"/>
    </row>
    <row r="267" spans="1:26" s="21" customFormat="1" ht="12" customHeight="1">
      <c r="A267" s="21" t="s">
        <v>1412</v>
      </c>
      <c r="B267" s="21" t="s">
        <v>1413</v>
      </c>
      <c r="C267" s="30">
        <v>42217</v>
      </c>
      <c r="D267" s="30">
        <v>42231</v>
      </c>
      <c r="E267" s="21" t="s">
        <v>1414</v>
      </c>
      <c r="G267" s="764" t="s">
        <v>1415</v>
      </c>
      <c r="H267" s="21" t="s">
        <v>1416</v>
      </c>
      <c r="I267" s="21" t="s">
        <v>18</v>
      </c>
      <c r="J267" s="21" t="s">
        <v>51</v>
      </c>
      <c r="K267" s="21" t="s">
        <v>1417</v>
      </c>
      <c r="L267" s="21" t="s">
        <v>1418</v>
      </c>
      <c r="N267" s="50"/>
      <c r="O267" s="1013">
        <v>3600</v>
      </c>
      <c r="Q267" s="21" t="s">
        <v>1420</v>
      </c>
      <c r="R267" s="876">
        <v>2</v>
      </c>
      <c r="S267" s="764">
        <v>4</v>
      </c>
      <c r="T267" s="764">
        <v>1</v>
      </c>
      <c r="U267" s="1841">
        <v>900</v>
      </c>
      <c r="V267" s="78">
        <v>42039</v>
      </c>
      <c r="W267" s="21" t="s">
        <v>791</v>
      </c>
      <c r="X267" s="21" t="s">
        <v>1217</v>
      </c>
      <c r="Y267" s="2150"/>
      <c r="Z267" s="2150"/>
    </row>
    <row r="268" spans="1:26" s="21" customFormat="1" ht="12" customHeight="1">
      <c r="A268" s="21" t="s">
        <v>1062</v>
      </c>
      <c r="B268" s="21" t="s">
        <v>1063</v>
      </c>
      <c r="C268" s="30">
        <v>42231</v>
      </c>
      <c r="D268" s="30">
        <v>42245</v>
      </c>
      <c r="E268" s="21" t="s">
        <v>1064</v>
      </c>
      <c r="G268" s="764" t="s">
        <v>1065</v>
      </c>
      <c r="I268" s="21" t="s">
        <v>54</v>
      </c>
      <c r="J268" s="21" t="s">
        <v>19</v>
      </c>
      <c r="K268" s="21" t="s">
        <v>1067</v>
      </c>
      <c r="L268" s="21" t="s">
        <v>1066</v>
      </c>
      <c r="N268" s="50" t="s">
        <v>1068</v>
      </c>
      <c r="O268" s="1013">
        <f>1790+1590</f>
        <v>3380</v>
      </c>
      <c r="Q268" s="21" t="s">
        <v>1183</v>
      </c>
      <c r="R268" s="876">
        <v>2</v>
      </c>
      <c r="S268" s="764" t="s">
        <v>1070</v>
      </c>
      <c r="T268" s="764">
        <v>1</v>
      </c>
      <c r="U268" s="1841"/>
      <c r="V268" s="78">
        <v>42003</v>
      </c>
      <c r="W268" s="21" t="s">
        <v>1071</v>
      </c>
      <c r="X268" s="21" t="s">
        <v>1154</v>
      </c>
      <c r="Y268" s="2150"/>
      <c r="Z268" s="2150"/>
    </row>
    <row r="269" spans="1:26" s="21" customFormat="1" ht="12" customHeight="1">
      <c r="A269" s="21" t="s">
        <v>1354</v>
      </c>
      <c r="B269" s="21" t="s">
        <v>188</v>
      </c>
      <c r="C269" s="30">
        <v>42245</v>
      </c>
      <c r="D269" s="30">
        <v>42252</v>
      </c>
      <c r="E269" s="21" t="s">
        <v>1355</v>
      </c>
      <c r="G269" s="764" t="s">
        <v>1356</v>
      </c>
      <c r="H269" s="21" t="s">
        <v>1357</v>
      </c>
      <c r="I269" s="21" t="s">
        <v>54</v>
      </c>
      <c r="J269" s="21" t="s">
        <v>19</v>
      </c>
      <c r="K269" s="21" t="s">
        <v>1358</v>
      </c>
      <c r="L269" s="21" t="s">
        <v>1359</v>
      </c>
      <c r="N269" s="50" t="s">
        <v>1360</v>
      </c>
      <c r="O269" s="1013">
        <v>1390</v>
      </c>
      <c r="Q269" s="21" t="s">
        <v>1361</v>
      </c>
      <c r="R269" s="876">
        <v>1</v>
      </c>
      <c r="S269" s="764" t="s">
        <v>1362</v>
      </c>
      <c r="T269" s="764">
        <v>1</v>
      </c>
      <c r="U269" s="1841">
        <v>374.5</v>
      </c>
      <c r="V269" s="78">
        <v>41969</v>
      </c>
      <c r="W269" s="21" t="s">
        <v>1338</v>
      </c>
      <c r="X269" s="21" t="s">
        <v>1154</v>
      </c>
      <c r="Y269" s="2150"/>
      <c r="Z269" s="2150"/>
    </row>
    <row r="270" spans="1:26" s="21" customFormat="1" ht="12" customHeight="1">
      <c r="A270" s="21" t="s">
        <v>1433</v>
      </c>
      <c r="B270" s="21" t="s">
        <v>1434</v>
      </c>
      <c r="C270" s="30">
        <v>42252</v>
      </c>
      <c r="D270" s="30">
        <v>42266</v>
      </c>
      <c r="E270" s="21" t="s">
        <v>1435</v>
      </c>
      <c r="G270" s="764" t="s">
        <v>1436</v>
      </c>
      <c r="H270" s="21" t="s">
        <v>1437</v>
      </c>
      <c r="I270" s="21" t="s">
        <v>18</v>
      </c>
      <c r="J270" s="21" t="s">
        <v>51</v>
      </c>
      <c r="K270" s="21" t="s">
        <v>1438</v>
      </c>
      <c r="L270" s="21" t="s">
        <v>1439</v>
      </c>
      <c r="N270" s="50" t="s">
        <v>1440</v>
      </c>
      <c r="O270" s="1013">
        <f>1190+1190</f>
        <v>2380</v>
      </c>
      <c r="Q270" s="21" t="s">
        <v>1441</v>
      </c>
      <c r="R270" s="876">
        <v>2</v>
      </c>
      <c r="S270" s="764">
        <v>2</v>
      </c>
      <c r="T270" s="764">
        <v>3</v>
      </c>
      <c r="U270" s="1841">
        <f>2380/4</f>
        <v>595</v>
      </c>
      <c r="V270" s="78">
        <v>42070</v>
      </c>
      <c r="X270" s="21" t="s">
        <v>1154</v>
      </c>
      <c r="Y270" s="2150"/>
      <c r="Z270" s="2150"/>
    </row>
    <row r="271" spans="1:26" s="21" customFormat="1" ht="12" customHeight="1">
      <c r="A271" s="21" t="s">
        <v>1452</v>
      </c>
      <c r="B271" s="21" t="s">
        <v>1453</v>
      </c>
      <c r="C271" s="30">
        <v>42294</v>
      </c>
      <c r="D271" s="30">
        <v>42305</v>
      </c>
      <c r="E271" s="21" t="s">
        <v>1454</v>
      </c>
      <c r="G271" s="764" t="s">
        <v>1455</v>
      </c>
      <c r="H271" s="21" t="s">
        <v>1456</v>
      </c>
      <c r="I271" s="21" t="s">
        <v>18</v>
      </c>
      <c r="J271" s="21" t="s">
        <v>51</v>
      </c>
      <c r="K271" s="21" t="s">
        <v>1457</v>
      </c>
      <c r="L271" s="21" t="s">
        <v>1458</v>
      </c>
      <c r="N271" s="50" t="s">
        <v>1459</v>
      </c>
      <c r="O271" s="1013">
        <v>1190</v>
      </c>
      <c r="Q271" s="21" t="s">
        <v>1460</v>
      </c>
      <c r="R271" s="876">
        <v>1.5</v>
      </c>
      <c r="S271" s="764"/>
      <c r="T271" s="764">
        <v>1</v>
      </c>
      <c r="U271" s="1841">
        <v>297.5</v>
      </c>
      <c r="V271" s="78">
        <v>42242</v>
      </c>
      <c r="X271" s="21" t="s">
        <v>1154</v>
      </c>
      <c r="Y271" s="2150"/>
      <c r="Z271" s="2150"/>
    </row>
    <row r="272" spans="1:26" s="21" customFormat="1" ht="12" customHeight="1">
      <c r="A272" s="21" t="s">
        <v>1347</v>
      </c>
      <c r="B272" s="21" t="s">
        <v>1346</v>
      </c>
      <c r="C272" s="30">
        <v>42307</v>
      </c>
      <c r="D272" s="30">
        <v>42315</v>
      </c>
      <c r="E272" s="21" t="s">
        <v>1349</v>
      </c>
      <c r="G272" s="764" t="s">
        <v>1350</v>
      </c>
      <c r="H272" s="21" t="s">
        <v>300</v>
      </c>
      <c r="I272" s="21" t="s">
        <v>54</v>
      </c>
      <c r="J272" s="21" t="s">
        <v>19</v>
      </c>
      <c r="K272" s="21" t="s">
        <v>1351</v>
      </c>
      <c r="L272" s="21" t="s">
        <v>1352</v>
      </c>
      <c r="N272" s="51" t="s">
        <v>1344</v>
      </c>
      <c r="O272" s="1013">
        <v>790</v>
      </c>
      <c r="Q272" s="21" t="s">
        <v>1348</v>
      </c>
      <c r="R272" s="876">
        <v>1</v>
      </c>
      <c r="S272" s="764" t="s">
        <v>1451</v>
      </c>
      <c r="T272" s="764">
        <v>0</v>
      </c>
      <c r="U272" s="1841">
        <v>400</v>
      </c>
      <c r="V272" s="78">
        <v>41968</v>
      </c>
      <c r="W272" s="78" t="s">
        <v>1345</v>
      </c>
      <c r="X272" s="21" t="s">
        <v>1154</v>
      </c>
      <c r="Y272" s="2150"/>
      <c r="Z272" s="2150"/>
    </row>
    <row r="273" spans="1:26" s="820" customFormat="1" ht="12" customHeight="1">
      <c r="A273" s="820" t="s">
        <v>1485</v>
      </c>
      <c r="C273" s="821">
        <v>42364</v>
      </c>
      <c r="D273" s="821">
        <v>42372</v>
      </c>
      <c r="E273" s="820" t="s">
        <v>1490</v>
      </c>
      <c r="G273" s="822">
        <v>29233</v>
      </c>
      <c r="H273" s="820" t="s">
        <v>1486</v>
      </c>
      <c r="I273" s="820" t="s">
        <v>23</v>
      </c>
      <c r="J273" s="820" t="s">
        <v>19</v>
      </c>
      <c r="K273" s="820" t="s">
        <v>1487</v>
      </c>
      <c r="N273" s="823" t="s">
        <v>1488</v>
      </c>
      <c r="O273" s="1026">
        <v>1000</v>
      </c>
      <c r="R273" s="885">
        <v>1</v>
      </c>
      <c r="S273" s="822">
        <v>2</v>
      </c>
      <c r="T273" s="822">
        <v>0</v>
      </c>
      <c r="U273" s="1852">
        <v>250</v>
      </c>
      <c r="V273" s="825" t="s">
        <v>1489</v>
      </c>
      <c r="X273" s="820" t="s">
        <v>1217</v>
      </c>
      <c r="Y273" s="1512"/>
      <c r="Z273" s="1512"/>
    </row>
    <row r="274" spans="1:26" s="21" customFormat="1" ht="12" customHeight="1">
      <c r="C274" s="30"/>
      <c r="D274" s="30"/>
      <c r="G274" s="764"/>
      <c r="N274" s="50"/>
      <c r="O274" s="1013"/>
      <c r="R274" s="876"/>
      <c r="S274" s="764"/>
      <c r="T274" s="764"/>
      <c r="U274" s="1841"/>
      <c r="V274" s="78"/>
      <c r="Y274" s="2150"/>
      <c r="Z274" s="2150"/>
    </row>
    <row r="275" spans="1:26" s="21" customFormat="1" ht="12" customHeight="1">
      <c r="C275" s="30"/>
      <c r="D275" s="30"/>
      <c r="G275" s="764"/>
      <c r="N275" s="50"/>
      <c r="O275" s="1013"/>
      <c r="R275" s="876"/>
      <c r="S275" s="764"/>
      <c r="T275" s="764"/>
      <c r="U275" s="1841"/>
      <c r="V275" s="78"/>
      <c r="Y275" s="2150"/>
      <c r="Z275" s="2150"/>
    </row>
    <row r="276" spans="1:26" s="21" customFormat="1" ht="12" customHeight="1">
      <c r="C276" s="30"/>
      <c r="D276" s="30"/>
      <c r="G276" s="764"/>
      <c r="N276" s="50"/>
      <c r="O276" s="1013"/>
      <c r="R276" s="876"/>
      <c r="S276" s="764"/>
      <c r="T276" s="764"/>
      <c r="U276" s="1841"/>
      <c r="V276" s="78"/>
      <c r="Y276" s="2150"/>
      <c r="Z276" s="2150"/>
    </row>
    <row r="277" spans="1:26" s="21" customFormat="1" ht="12" customHeight="1">
      <c r="C277" s="30"/>
      <c r="D277" s="30"/>
      <c r="G277" s="764"/>
      <c r="N277" s="50"/>
      <c r="O277" s="1013"/>
      <c r="R277" s="876"/>
      <c r="S277" s="764"/>
      <c r="T277" s="764"/>
      <c r="U277" s="1841"/>
      <c r="V277" s="78"/>
      <c r="Y277" s="2150"/>
      <c r="Z277" s="2150"/>
    </row>
    <row r="278" spans="1:26" s="21" customFormat="1" ht="12" customHeight="1">
      <c r="C278" s="30"/>
      <c r="D278" s="30"/>
      <c r="G278" s="764"/>
      <c r="N278" s="50"/>
      <c r="O278" s="1013"/>
      <c r="R278" s="876"/>
      <c r="S278" s="764"/>
      <c r="T278" s="764"/>
      <c r="U278" s="1841"/>
      <c r="V278" s="78"/>
      <c r="Y278" s="2150"/>
      <c r="Z278" s="2150"/>
    </row>
    <row r="279" spans="1:26" s="21" customFormat="1" ht="12" customHeight="1">
      <c r="C279" s="30"/>
      <c r="D279" s="30"/>
      <c r="G279" s="764"/>
      <c r="N279" s="50"/>
      <c r="O279" s="1013"/>
      <c r="R279" s="876"/>
      <c r="S279" s="764"/>
      <c r="T279" s="764"/>
      <c r="U279" s="1841"/>
      <c r="V279" s="78"/>
      <c r="Y279" s="2150"/>
      <c r="Z279" s="2150"/>
    </row>
    <row r="280" spans="1:26" s="21" customFormat="1" ht="12" customHeight="1">
      <c r="C280" s="30"/>
      <c r="D280" s="30"/>
      <c r="G280" s="764"/>
      <c r="N280" s="50"/>
      <c r="O280" s="1013"/>
      <c r="R280" s="876"/>
      <c r="S280" s="764"/>
      <c r="T280" s="764"/>
      <c r="U280" s="1841"/>
      <c r="V280" s="78"/>
      <c r="Y280" s="2150"/>
      <c r="Z280" s="2150"/>
    </row>
    <row r="281" spans="1:26" s="21" customFormat="1" ht="12" customHeight="1">
      <c r="C281" s="30"/>
      <c r="D281" s="30"/>
      <c r="G281" s="764"/>
      <c r="N281" s="51"/>
      <c r="O281" s="1013"/>
      <c r="R281" s="876"/>
      <c r="S281" s="764"/>
      <c r="T281" s="764"/>
      <c r="U281" s="1841"/>
      <c r="V281" s="78"/>
      <c r="Y281" s="2150"/>
      <c r="Z281" s="2150"/>
    </row>
    <row r="282" spans="1:26" ht="12" customHeight="1">
      <c r="K282" s="817"/>
      <c r="N282" s="49"/>
      <c r="O282" s="1014"/>
      <c r="U282" s="1845"/>
      <c r="X282" s="814"/>
    </row>
    <row r="283" spans="1:26" ht="12" customHeight="1">
      <c r="N283" s="49"/>
      <c r="O283" s="1014"/>
      <c r="U283" s="1845"/>
    </row>
    <row r="284" spans="1:26" ht="12" customHeight="1">
      <c r="N284" s="49"/>
      <c r="O284" s="1014"/>
      <c r="U284" s="1845"/>
    </row>
    <row r="285" spans="1:26" ht="12" customHeight="1">
      <c r="N285" s="49"/>
      <c r="O285" s="1014"/>
      <c r="U285" s="1845"/>
    </row>
    <row r="286" spans="1:26" ht="12" customHeight="1">
      <c r="N286" s="49"/>
      <c r="O286" s="1014"/>
      <c r="U286" s="1845"/>
    </row>
    <row r="287" spans="1:26" ht="12" customHeight="1">
      <c r="N287" s="49"/>
      <c r="O287" s="1014"/>
      <c r="U287" s="1845"/>
    </row>
    <row r="288" spans="1:26" ht="12" customHeight="1">
      <c r="A288" s="10"/>
      <c r="N288" s="49"/>
      <c r="O288" s="1014"/>
      <c r="U288" s="1822"/>
    </row>
    <row r="289" spans="1:21" ht="12" customHeight="1">
      <c r="H289" s="808"/>
      <c r="N289" s="49"/>
      <c r="O289" s="1014"/>
      <c r="U289" s="1845"/>
    </row>
    <row r="290" spans="1:21" ht="12" customHeight="1">
      <c r="A290" s="809"/>
      <c r="N290" s="49"/>
      <c r="O290" s="1014"/>
      <c r="U290" s="1822"/>
    </row>
    <row r="291" spans="1:21" ht="12" customHeight="1">
      <c r="A291" s="809"/>
      <c r="E291" s="811"/>
      <c r="N291" s="49"/>
      <c r="O291" s="1014"/>
      <c r="U291" s="1822"/>
    </row>
    <row r="292" spans="1:21" ht="12" customHeight="1">
      <c r="A292" s="809"/>
      <c r="E292" s="811"/>
      <c r="N292" s="49"/>
      <c r="O292" s="1014"/>
      <c r="U292" s="1845"/>
    </row>
    <row r="293" spans="1:21" ht="12" customHeight="1">
      <c r="A293" s="49"/>
      <c r="E293" s="811"/>
      <c r="N293" s="49"/>
      <c r="O293" s="1014"/>
      <c r="U293" s="1822"/>
    </row>
    <row r="294" spans="1:21" ht="12" customHeight="1">
      <c r="A294" s="49"/>
      <c r="N294" s="49"/>
      <c r="O294" s="1014"/>
      <c r="U294" s="1846"/>
    </row>
    <row r="295" spans="1:21" ht="12" customHeight="1">
      <c r="A295" s="10"/>
      <c r="N295" s="49"/>
      <c r="O295" s="1014"/>
      <c r="U295" s="1846"/>
    </row>
    <row r="296" spans="1:21" ht="12" customHeight="1">
      <c r="N296" s="73"/>
      <c r="O296" s="1014"/>
      <c r="U296" s="1847"/>
    </row>
    <row r="297" spans="1:21" ht="12" customHeight="1">
      <c r="E297" s="811"/>
      <c r="L297" s="814">
        <f>O285-U285</f>
        <v>0</v>
      </c>
      <c r="N297" s="73"/>
      <c r="O297" s="1014"/>
      <c r="S297" s="132">
        <f>O287-U287</f>
        <v>0</v>
      </c>
      <c r="U297" s="1822"/>
    </row>
    <row r="298" spans="1:21" ht="12" customHeight="1">
      <c r="N298" s="49"/>
      <c r="O298" s="1014"/>
      <c r="U298" s="1822"/>
    </row>
    <row r="299" spans="1:21" ht="12" customHeight="1">
      <c r="E299" s="811"/>
      <c r="N299" s="49"/>
      <c r="O299" s="1014"/>
      <c r="U299" s="1849"/>
    </row>
    <row r="300" spans="1:21" ht="12" customHeight="1">
      <c r="N300" s="49"/>
      <c r="O300" s="1014"/>
      <c r="U300" s="1822"/>
    </row>
    <row r="301" spans="1:21" ht="12" customHeight="1">
      <c r="N301" s="49"/>
      <c r="O301" s="1014"/>
      <c r="U301" s="1822"/>
    </row>
    <row r="302" spans="1:21" ht="12" customHeight="1">
      <c r="N302" s="49"/>
      <c r="O302" s="1014"/>
      <c r="U302" s="1822"/>
    </row>
    <row r="303" spans="1:21" ht="12" customHeight="1">
      <c r="A303" s="7"/>
      <c r="B303" s="7"/>
      <c r="C303" s="29"/>
      <c r="D303" s="29"/>
      <c r="F303" s="7"/>
      <c r="G303" s="133"/>
      <c r="H303" s="7"/>
      <c r="I303" s="7"/>
      <c r="J303" s="7"/>
      <c r="K303" s="7"/>
      <c r="L303" s="7"/>
      <c r="M303" s="7"/>
      <c r="N303" s="7"/>
      <c r="O303" s="1012"/>
      <c r="P303" s="7"/>
      <c r="S303" s="133"/>
      <c r="T303" s="133"/>
      <c r="U303" s="1819"/>
    </row>
    <row r="304" spans="1:21" ht="12" customHeight="1" thickBot="1">
      <c r="A304" s="7"/>
      <c r="B304" s="773"/>
      <c r="C304" s="29"/>
      <c r="D304" s="29"/>
      <c r="F304" s="7"/>
      <c r="G304" s="133"/>
      <c r="H304" s="7"/>
      <c r="I304" s="7"/>
      <c r="J304" s="7"/>
      <c r="K304" s="7"/>
      <c r="L304" s="7"/>
      <c r="M304" s="7"/>
      <c r="N304" s="7"/>
      <c r="O304" s="1012"/>
      <c r="P304" s="7"/>
      <c r="S304" s="133"/>
      <c r="T304" s="133"/>
      <c r="U304" s="1819"/>
    </row>
    <row r="305" spans="1:21" ht="12" customHeight="1" thickBot="1">
      <c r="A305" s="18" t="s">
        <v>1303</v>
      </c>
      <c r="B305" s="767">
        <f>SUM(O250:O305)</f>
        <v>33114</v>
      </c>
      <c r="C305" s="826">
        <f>B305/B241</f>
        <v>1.1507906168549087</v>
      </c>
      <c r="D305" s="791" t="s">
        <v>574</v>
      </c>
      <c r="E305" s="782"/>
      <c r="F305" s="7"/>
      <c r="G305" s="133"/>
      <c r="H305" s="7"/>
      <c r="I305" s="7"/>
      <c r="J305" s="7"/>
      <c r="K305" s="7"/>
      <c r="L305" s="7"/>
      <c r="M305" s="7"/>
      <c r="N305" s="7"/>
      <c r="O305" s="1012"/>
      <c r="P305" s="7"/>
      <c r="S305" s="133"/>
      <c r="T305" s="133"/>
      <c r="U305" s="1819"/>
    </row>
    <row r="306" spans="1:21" ht="12" customHeight="1" thickBot="1">
      <c r="A306" s="768" t="s">
        <v>463</v>
      </c>
      <c r="B306" s="827">
        <f>SUM(R234:R305)</f>
        <v>31.5</v>
      </c>
      <c r="C306" s="783">
        <f>B305/B306</f>
        <v>1051.2380952380952</v>
      </c>
      <c r="D306" s="17" t="s">
        <v>575</v>
      </c>
      <c r="E306" s="13"/>
      <c r="F306" s="7"/>
      <c r="G306" s="133"/>
      <c r="H306" s="7"/>
      <c r="I306" s="7"/>
      <c r="J306" s="7"/>
      <c r="K306" s="7"/>
      <c r="L306" s="7"/>
      <c r="M306" s="7"/>
      <c r="N306" s="7"/>
      <c r="O306" s="1012"/>
      <c r="P306" s="7"/>
      <c r="S306" s="133"/>
      <c r="T306" s="133"/>
      <c r="U306" s="1819"/>
    </row>
    <row r="307" spans="1:21" ht="12" customHeight="1" thickBot="1">
      <c r="A307" s="7"/>
      <c r="B307" s="7"/>
      <c r="C307" s="29"/>
      <c r="D307" s="17" t="s">
        <v>576</v>
      </c>
      <c r="E307" s="13"/>
      <c r="F307" s="7"/>
      <c r="G307" s="133"/>
      <c r="H307" s="7"/>
      <c r="I307" s="7"/>
      <c r="J307" s="7"/>
      <c r="K307" s="7"/>
      <c r="L307" s="7"/>
      <c r="M307" s="7"/>
      <c r="N307" s="7"/>
      <c r="O307" s="1012"/>
      <c r="P307" s="7"/>
      <c r="S307" s="133"/>
      <c r="T307" s="133"/>
      <c r="U307" s="1819"/>
    </row>
    <row r="308" spans="1:21" ht="12" customHeight="1" thickBot="1">
      <c r="A308" s="771" t="s">
        <v>464</v>
      </c>
      <c r="B308" s="772">
        <f>537.56*12+5800</f>
        <v>12250.72</v>
      </c>
      <c r="C308" s="29"/>
      <c r="D308" s="17" t="s">
        <v>1304</v>
      </c>
      <c r="E308" s="13"/>
      <c r="F308" s="7"/>
      <c r="G308" s="133"/>
      <c r="H308" s="7"/>
      <c r="I308" s="7"/>
      <c r="J308" s="7"/>
      <c r="K308" s="7"/>
      <c r="L308" s="7"/>
      <c r="M308" s="7"/>
      <c r="N308" s="7"/>
      <c r="O308" s="1012"/>
      <c r="P308" s="7"/>
      <c r="S308" s="133"/>
      <c r="T308" s="133"/>
      <c r="U308" s="1819"/>
    </row>
    <row r="309" spans="1:21" ht="12" customHeight="1" thickBot="1">
      <c r="A309" s="7"/>
      <c r="B309" s="7"/>
      <c r="C309" s="29"/>
      <c r="D309" s="17" t="s">
        <v>577</v>
      </c>
      <c r="E309" s="13"/>
      <c r="F309" s="7"/>
      <c r="G309" s="133"/>
      <c r="H309" s="7"/>
      <c r="I309" s="7"/>
      <c r="J309" s="7"/>
      <c r="K309" s="7"/>
      <c r="L309" s="7"/>
      <c r="M309" s="7"/>
      <c r="N309" s="7"/>
      <c r="O309" s="1012"/>
      <c r="P309" s="7"/>
      <c r="S309" s="133"/>
      <c r="T309" s="133"/>
      <c r="U309" s="1819"/>
    </row>
    <row r="310" spans="1:21" ht="12" customHeight="1" thickBot="1">
      <c r="A310" s="18" t="s">
        <v>1236</v>
      </c>
      <c r="B310" s="799">
        <f>B305-B308-E311</f>
        <v>20863.28</v>
      </c>
      <c r="C310" s="29"/>
      <c r="D310" s="786" t="s">
        <v>578</v>
      </c>
      <c r="E310" s="541"/>
      <c r="F310" s="7"/>
      <c r="G310" s="133"/>
      <c r="H310" s="7"/>
      <c r="I310" s="7"/>
      <c r="J310" s="7"/>
      <c r="K310" s="7"/>
      <c r="L310" s="773"/>
      <c r="M310" s="7"/>
      <c r="N310" s="7"/>
      <c r="O310" s="1012"/>
      <c r="P310" s="7"/>
      <c r="S310" s="133"/>
      <c r="T310" s="133"/>
      <c r="U310" s="1819"/>
    </row>
    <row r="311" spans="1:21" ht="12" customHeight="1" thickBot="1">
      <c r="A311" s="768" t="s">
        <v>466</v>
      </c>
      <c r="B311" s="800">
        <f>B305/12</f>
        <v>2759.5</v>
      </c>
      <c r="C311" s="29"/>
      <c r="D311" s="801" t="s">
        <v>585</v>
      </c>
      <c r="E311" s="789">
        <f>SUM(E306:E310)</f>
        <v>0</v>
      </c>
      <c r="F311" s="7"/>
      <c r="G311" s="133"/>
      <c r="H311" s="7"/>
      <c r="I311" s="7"/>
      <c r="J311" s="7"/>
      <c r="K311" s="7"/>
      <c r="L311" s="7"/>
      <c r="M311" s="7"/>
      <c r="N311" s="7"/>
      <c r="O311" s="1012"/>
      <c r="P311" s="7"/>
      <c r="S311" s="133"/>
      <c r="T311" s="133"/>
      <c r="U311" s="1819"/>
    </row>
    <row r="312" spans="1:21" ht="12" customHeight="1">
      <c r="B312" s="773"/>
      <c r="C312" s="29"/>
      <c r="D312" s="29"/>
      <c r="E312" s="7"/>
      <c r="F312" s="7"/>
      <c r="G312" s="133"/>
      <c r="H312" s="7"/>
      <c r="I312" s="7"/>
      <c r="J312" s="7"/>
      <c r="K312" s="7"/>
      <c r="L312" s="7"/>
      <c r="M312" s="7"/>
      <c r="N312" s="7"/>
      <c r="O312" s="1012"/>
      <c r="P312" s="7"/>
      <c r="S312" s="133"/>
      <c r="T312" s="133"/>
      <c r="U312" s="1819"/>
    </row>
    <row r="313" spans="1:21" ht="12" customHeight="1">
      <c r="B313" s="773"/>
      <c r="C313" s="29"/>
      <c r="D313" s="29"/>
      <c r="E313" s="7"/>
      <c r="F313" s="7"/>
      <c r="G313" s="133"/>
      <c r="H313" s="7"/>
      <c r="I313" s="7"/>
      <c r="J313" s="7"/>
      <c r="K313" s="7"/>
      <c r="L313" s="7"/>
      <c r="M313" s="7"/>
      <c r="N313" s="7"/>
      <c r="O313" s="1012"/>
      <c r="P313" s="7"/>
      <c r="S313" s="133"/>
      <c r="T313" s="133"/>
      <c r="U313" s="1819"/>
    </row>
    <row r="314" spans="1:21" ht="12" customHeight="1">
      <c r="B314" s="773"/>
      <c r="C314" s="29"/>
      <c r="D314" s="29"/>
      <c r="E314" s="7"/>
      <c r="F314" s="7"/>
      <c r="G314" s="133"/>
      <c r="H314" s="7"/>
      <c r="I314" s="7"/>
      <c r="J314" s="7"/>
      <c r="K314" s="7"/>
      <c r="L314" s="7"/>
      <c r="M314" s="7"/>
      <c r="N314" s="7"/>
      <c r="O314" s="1012"/>
      <c r="P314" s="7"/>
      <c r="S314" s="133"/>
      <c r="T314" s="133"/>
      <c r="U314" s="1819"/>
    </row>
    <row r="315" spans="1:21" ht="12" customHeight="1">
      <c r="B315" s="773"/>
      <c r="C315" s="29"/>
      <c r="D315" s="29"/>
      <c r="E315" s="7"/>
      <c r="F315" s="7"/>
      <c r="G315" s="133"/>
      <c r="H315" s="7"/>
      <c r="I315" s="7"/>
      <c r="J315" s="7"/>
      <c r="K315" s="7"/>
      <c r="L315" s="7"/>
      <c r="M315" s="7"/>
      <c r="N315" s="7"/>
      <c r="O315" s="1012"/>
      <c r="P315" s="7"/>
      <c r="S315" s="133"/>
      <c r="T315" s="133"/>
      <c r="U315" s="1819"/>
    </row>
    <row r="316" spans="1:21" ht="12" customHeight="1">
      <c r="B316" s="773"/>
      <c r="C316" s="29"/>
      <c r="D316" s="29"/>
      <c r="E316" s="7"/>
      <c r="F316" s="7"/>
      <c r="G316" s="133"/>
      <c r="H316" s="7"/>
      <c r="I316" s="7"/>
      <c r="J316" s="7"/>
      <c r="K316" s="7"/>
      <c r="L316" s="7"/>
      <c r="M316" s="7"/>
      <c r="N316" s="7"/>
      <c r="O316" s="1012"/>
      <c r="P316" s="7"/>
      <c r="S316" s="133"/>
      <c r="T316" s="133"/>
      <c r="U316" s="1819"/>
    </row>
    <row r="317" spans="1:21" ht="12" customHeight="1">
      <c r="B317" s="773"/>
      <c r="C317" s="29"/>
      <c r="D317" s="29"/>
      <c r="E317" s="7"/>
      <c r="F317" s="7"/>
      <c r="G317" s="133"/>
      <c r="H317" s="7"/>
      <c r="I317" s="7"/>
      <c r="J317" s="7"/>
      <c r="K317" s="7"/>
      <c r="L317" s="7"/>
      <c r="M317" s="7"/>
      <c r="N317" s="7"/>
      <c r="O317" s="1012"/>
      <c r="P317" s="7"/>
      <c r="S317" s="133"/>
      <c r="T317" s="133"/>
      <c r="U317" s="1819"/>
    </row>
    <row r="318" spans="1:21" ht="12" customHeight="1">
      <c r="B318" s="773"/>
      <c r="C318" s="29"/>
      <c r="D318" s="29"/>
      <c r="E318" s="7"/>
      <c r="F318" s="7"/>
      <c r="G318" s="133"/>
      <c r="H318" s="7"/>
      <c r="I318" s="7"/>
      <c r="J318" s="7"/>
      <c r="K318" s="7"/>
      <c r="L318" s="7"/>
      <c r="M318" s="7"/>
      <c r="N318" s="7"/>
      <c r="O318" s="1012"/>
      <c r="P318" s="7"/>
      <c r="S318" s="133"/>
      <c r="T318" s="133"/>
      <c r="U318" s="1819"/>
    </row>
    <row r="319" spans="1:21" ht="12" customHeight="1">
      <c r="B319" s="773"/>
      <c r="C319" s="29"/>
      <c r="D319" s="29"/>
      <c r="E319" s="7"/>
      <c r="F319" s="7"/>
      <c r="G319" s="133"/>
      <c r="H319" s="7"/>
      <c r="I319" s="7"/>
      <c r="J319" s="7"/>
      <c r="K319" s="7"/>
      <c r="L319" s="7"/>
      <c r="M319" s="7"/>
      <c r="N319" s="7"/>
      <c r="O319" s="1012"/>
      <c r="P319" s="7"/>
      <c r="S319" s="133"/>
      <c r="T319" s="133"/>
      <c r="U319" s="1819"/>
    </row>
    <row r="320" spans="1:21" ht="12" customHeight="1">
      <c r="A320" s="9"/>
      <c r="B320" s="773"/>
      <c r="C320" s="29"/>
      <c r="D320" s="29"/>
      <c r="E320" s="7"/>
      <c r="F320" s="7"/>
      <c r="G320" s="133"/>
      <c r="H320" s="7"/>
      <c r="I320" s="7"/>
      <c r="J320" s="7"/>
      <c r="K320" s="7"/>
      <c r="L320" s="7"/>
      <c r="M320" s="7"/>
      <c r="N320" s="7"/>
      <c r="O320" s="1012"/>
      <c r="P320" s="7"/>
      <c r="S320" s="133"/>
      <c r="T320" s="133"/>
      <c r="U320" s="1819"/>
    </row>
    <row r="321" spans="1:26" ht="12" customHeight="1">
      <c r="A321" s="9" t="s">
        <v>1461</v>
      </c>
      <c r="B321" s="773"/>
      <c r="C321" s="29"/>
      <c r="D321" s="29"/>
      <c r="E321" s="7"/>
      <c r="F321" s="7"/>
      <c r="G321" s="133"/>
      <c r="H321" s="7"/>
      <c r="I321" s="7"/>
      <c r="J321" s="7"/>
      <c r="K321" s="7"/>
      <c r="L321" s="7"/>
      <c r="M321" s="7"/>
      <c r="N321" s="7"/>
      <c r="O321" s="1012"/>
      <c r="P321" s="7"/>
      <c r="S321" s="133"/>
      <c r="T321" s="133"/>
      <c r="U321" s="1819"/>
    </row>
    <row r="322" spans="1:26" ht="12" customHeight="1">
      <c r="N322" s="128" t="s">
        <v>1684</v>
      </c>
      <c r="O322" s="1014"/>
      <c r="U322" s="1845"/>
    </row>
    <row r="323" spans="1:26" s="21" customFormat="1" ht="12" customHeight="1">
      <c r="A323" s="21" t="s">
        <v>1538</v>
      </c>
      <c r="B323" s="21" t="s">
        <v>1539</v>
      </c>
      <c r="C323" s="30">
        <v>42427</v>
      </c>
      <c r="D323" s="30">
        <v>42434</v>
      </c>
      <c r="E323" s="21" t="s">
        <v>1535</v>
      </c>
      <c r="G323" s="764">
        <v>75019</v>
      </c>
      <c r="H323" s="21" t="s">
        <v>1540</v>
      </c>
      <c r="I323" s="21" t="s">
        <v>983</v>
      </c>
      <c r="J323" s="21" t="s">
        <v>19</v>
      </c>
      <c r="K323" s="21" t="s">
        <v>1537</v>
      </c>
      <c r="L323" s="21" t="s">
        <v>1536</v>
      </c>
      <c r="N323" s="128" t="s">
        <v>1652</v>
      </c>
      <c r="O323" s="1013">
        <f>690+70</f>
        <v>760</v>
      </c>
      <c r="Q323" s="21" t="s">
        <v>1542</v>
      </c>
      <c r="R323" s="876">
        <v>1</v>
      </c>
      <c r="S323" s="764">
        <v>5</v>
      </c>
      <c r="T323" s="764">
        <v>0</v>
      </c>
      <c r="U323" s="1841">
        <v>0</v>
      </c>
      <c r="V323" s="78"/>
      <c r="W323" s="21" t="s">
        <v>1543</v>
      </c>
      <c r="Y323" s="2150"/>
      <c r="Z323" s="2150"/>
    </row>
    <row r="324" spans="1:26" s="115" customFormat="1" ht="12" customHeight="1">
      <c r="A324" s="115" t="s">
        <v>1469</v>
      </c>
      <c r="B324" s="115" t="s">
        <v>1470</v>
      </c>
      <c r="C324" s="116">
        <v>42448</v>
      </c>
      <c r="D324" s="116">
        <v>42462</v>
      </c>
      <c r="E324" s="115" t="s">
        <v>1471</v>
      </c>
      <c r="G324" s="361" t="s">
        <v>1472</v>
      </c>
      <c r="H324" s="115" t="s">
        <v>937</v>
      </c>
      <c r="I324" s="115" t="s">
        <v>18</v>
      </c>
      <c r="J324" s="115" t="s">
        <v>51</v>
      </c>
      <c r="K324" s="115" t="s">
        <v>1473</v>
      </c>
      <c r="L324" s="115" t="s">
        <v>1474</v>
      </c>
      <c r="N324" s="363" t="s">
        <v>1068</v>
      </c>
      <c r="O324" s="1027">
        <f>690*2</f>
        <v>1380</v>
      </c>
      <c r="R324" s="682">
        <v>2</v>
      </c>
      <c r="S324" s="361" t="s">
        <v>1476</v>
      </c>
      <c r="T324" s="361">
        <v>1</v>
      </c>
      <c r="U324" s="1737">
        <v>345</v>
      </c>
      <c r="V324" s="120">
        <v>42324</v>
      </c>
      <c r="W324" s="120" t="s">
        <v>1477</v>
      </c>
      <c r="X324" s="115" t="s">
        <v>1154</v>
      </c>
      <c r="Y324" s="1486"/>
      <c r="Z324" s="1486"/>
    </row>
    <row r="325" spans="1:26" s="21" customFormat="1" ht="12" customHeight="1">
      <c r="A325" s="21" t="s">
        <v>1062</v>
      </c>
      <c r="B325" s="21" t="s">
        <v>1063</v>
      </c>
      <c r="C325" s="30">
        <v>42462</v>
      </c>
      <c r="D325" s="30">
        <v>42469</v>
      </c>
      <c r="E325" s="21" t="s">
        <v>1064</v>
      </c>
      <c r="G325" s="764" t="s">
        <v>1065</v>
      </c>
      <c r="I325" s="21" t="s">
        <v>54</v>
      </c>
      <c r="J325" s="21" t="s">
        <v>19</v>
      </c>
      <c r="K325" s="21" t="s">
        <v>1067</v>
      </c>
      <c r="L325" s="21" t="s">
        <v>1066</v>
      </c>
      <c r="N325" s="835" t="s">
        <v>1743</v>
      </c>
      <c r="O325" s="1013">
        <f>U325*4+50</f>
        <v>840</v>
      </c>
      <c r="Q325" s="21" t="s">
        <v>1183</v>
      </c>
      <c r="R325" s="876">
        <v>1</v>
      </c>
      <c r="S325" s="764" t="s">
        <v>1518</v>
      </c>
      <c r="T325" s="764">
        <v>1</v>
      </c>
      <c r="U325" s="1841">
        <v>197.5</v>
      </c>
      <c r="V325" s="78" t="s">
        <v>1519</v>
      </c>
      <c r="W325" s="21" t="s">
        <v>1071</v>
      </c>
      <c r="X325" s="21" t="s">
        <v>1154</v>
      </c>
      <c r="Y325" s="2150"/>
      <c r="Z325" s="2150"/>
    </row>
    <row r="326" spans="1:26" s="115" customFormat="1" ht="12" customHeight="1">
      <c r="A326" s="115" t="s">
        <v>1526</v>
      </c>
      <c r="B326" s="115" t="s">
        <v>1527</v>
      </c>
      <c r="C326" s="116">
        <v>42476</v>
      </c>
      <c r="D326" s="116">
        <v>42483</v>
      </c>
      <c r="E326" s="115" t="s">
        <v>1528</v>
      </c>
      <c r="G326" s="361">
        <v>89210</v>
      </c>
      <c r="H326" s="115" t="s">
        <v>1529</v>
      </c>
      <c r="I326" s="115" t="s">
        <v>23</v>
      </c>
      <c r="J326" s="115" t="s">
        <v>19</v>
      </c>
      <c r="K326" s="115" t="s">
        <v>1530</v>
      </c>
      <c r="L326" s="115" t="s">
        <v>1531</v>
      </c>
      <c r="N326" s="128" t="s">
        <v>1735</v>
      </c>
      <c r="O326" s="1027">
        <f>790+21</f>
        <v>811</v>
      </c>
      <c r="Q326" s="115" t="s">
        <v>1401</v>
      </c>
      <c r="R326" s="682">
        <v>1</v>
      </c>
      <c r="S326" s="361" t="s">
        <v>1533</v>
      </c>
      <c r="T326" s="361">
        <v>1</v>
      </c>
      <c r="U326" s="1737">
        <v>197.5</v>
      </c>
      <c r="V326" s="120"/>
      <c r="W326" s="115" t="s">
        <v>1281</v>
      </c>
      <c r="Y326" s="1486"/>
      <c r="Z326" s="1486"/>
    </row>
    <row r="327" spans="1:26" s="115" customFormat="1" ht="12" customHeight="1">
      <c r="A327" s="115" t="s">
        <v>1501</v>
      </c>
      <c r="B327" s="115" t="s">
        <v>1502</v>
      </c>
      <c r="C327" s="116">
        <v>42483</v>
      </c>
      <c r="D327" s="116">
        <v>42497</v>
      </c>
      <c r="E327" s="115" t="s">
        <v>1503</v>
      </c>
      <c r="G327" s="361" t="s">
        <v>1504</v>
      </c>
      <c r="H327" s="115" t="s">
        <v>456</v>
      </c>
      <c r="I327" s="115" t="s">
        <v>168</v>
      </c>
      <c r="J327" s="115" t="s">
        <v>51</v>
      </c>
      <c r="L327" s="115" t="s">
        <v>1505</v>
      </c>
      <c r="N327" s="128" t="s">
        <v>1761</v>
      </c>
      <c r="O327" s="1027">
        <f>790*2+70+80</f>
        <v>1730</v>
      </c>
      <c r="Q327" s="115" t="s">
        <v>1507</v>
      </c>
      <c r="R327" s="682">
        <v>2</v>
      </c>
      <c r="S327" s="361" t="s">
        <v>1507</v>
      </c>
      <c r="T327" s="361">
        <v>2</v>
      </c>
      <c r="U327" s="1737">
        <v>1580</v>
      </c>
      <c r="V327" s="120">
        <v>42379</v>
      </c>
      <c r="W327" s="120" t="s">
        <v>1525</v>
      </c>
      <c r="X327" s="115" t="s">
        <v>1154</v>
      </c>
      <c r="Y327" s="1486"/>
      <c r="Z327" s="1486"/>
    </row>
    <row r="328" spans="1:26" s="115" customFormat="1" ht="12" customHeight="1">
      <c r="A328" s="115" t="s">
        <v>1478</v>
      </c>
      <c r="B328" s="115" t="s">
        <v>528</v>
      </c>
      <c r="C328" s="116">
        <v>42497</v>
      </c>
      <c r="D328" s="116">
        <v>42510</v>
      </c>
      <c r="E328" s="115" t="s">
        <v>1479</v>
      </c>
      <c r="G328" s="361" t="s">
        <v>1480</v>
      </c>
      <c r="H328" s="115" t="s">
        <v>1481</v>
      </c>
      <c r="I328" s="115" t="s">
        <v>168</v>
      </c>
      <c r="J328" s="115" t="s">
        <v>51</v>
      </c>
      <c r="K328" s="115" t="s">
        <v>1482</v>
      </c>
      <c r="L328" s="115" t="s">
        <v>1483</v>
      </c>
      <c r="N328" s="128" t="s">
        <v>352</v>
      </c>
      <c r="O328" s="1027">
        <f>790+890+70+42</f>
        <v>1792</v>
      </c>
      <c r="R328" s="682">
        <v>2</v>
      </c>
      <c r="S328" s="361" t="s">
        <v>1025</v>
      </c>
      <c r="T328" s="361">
        <v>1</v>
      </c>
      <c r="U328" s="1737">
        <v>420</v>
      </c>
      <c r="V328" s="120"/>
      <c r="Y328" s="1486"/>
      <c r="Z328" s="1486"/>
    </row>
    <row r="329" spans="1:26" s="115" customFormat="1" ht="12" customHeight="1">
      <c r="A329" s="115" t="s">
        <v>1462</v>
      </c>
      <c r="B329" s="115" t="s">
        <v>528</v>
      </c>
      <c r="C329" s="116">
        <v>42518</v>
      </c>
      <c r="D329" s="116">
        <v>42525</v>
      </c>
      <c r="E329" s="115" t="s">
        <v>1463</v>
      </c>
      <c r="G329" s="361" t="s">
        <v>1464</v>
      </c>
      <c r="H329" s="115" t="s">
        <v>1465</v>
      </c>
      <c r="I329" s="115" t="s">
        <v>18</v>
      </c>
      <c r="J329" s="115" t="s">
        <v>51</v>
      </c>
      <c r="K329" s="115" t="s">
        <v>1466</v>
      </c>
      <c r="L329" s="115" t="s">
        <v>1467</v>
      </c>
      <c r="N329" s="8"/>
      <c r="O329" s="1027">
        <f>1090</f>
        <v>1090</v>
      </c>
      <c r="Q329" s="115" t="s">
        <v>1300</v>
      </c>
      <c r="R329" s="682">
        <v>1</v>
      </c>
      <c r="S329" s="361">
        <v>2</v>
      </c>
      <c r="T329" s="361">
        <v>3</v>
      </c>
      <c r="U329" s="1737">
        <v>500</v>
      </c>
      <c r="V329" s="120">
        <v>42241</v>
      </c>
      <c r="X329" s="115" t="s">
        <v>1154</v>
      </c>
      <c r="Y329" s="1486"/>
      <c r="Z329" s="1486"/>
    </row>
    <row r="330" spans="1:26" s="115" customFormat="1" ht="12" customHeight="1">
      <c r="A330" s="115" t="s">
        <v>1580</v>
      </c>
      <c r="B330" s="115" t="s">
        <v>1581</v>
      </c>
      <c r="C330" s="116">
        <v>42532</v>
      </c>
      <c r="D330" s="116">
        <v>42546</v>
      </c>
      <c r="E330" s="115" t="s">
        <v>1582</v>
      </c>
      <c r="G330" s="361" t="s">
        <v>1583</v>
      </c>
      <c r="H330" s="115" t="s">
        <v>1584</v>
      </c>
      <c r="I330" s="115" t="s">
        <v>18</v>
      </c>
      <c r="J330" s="115" t="s">
        <v>51</v>
      </c>
      <c r="K330" s="115" t="s">
        <v>1585</v>
      </c>
      <c r="L330" s="115" t="s">
        <v>1586</v>
      </c>
      <c r="N330" s="128" t="s">
        <v>1649</v>
      </c>
      <c r="O330" s="1027">
        <v>2300</v>
      </c>
      <c r="Q330" s="115" t="s">
        <v>1598</v>
      </c>
      <c r="R330" s="682">
        <v>2</v>
      </c>
      <c r="S330" s="361" t="s">
        <v>1598</v>
      </c>
      <c r="T330" s="361"/>
      <c r="U330" s="1737">
        <v>575</v>
      </c>
      <c r="V330" s="120"/>
      <c r="Y330" s="1486"/>
      <c r="Z330" s="1486"/>
    </row>
    <row r="331" spans="1:26" s="115" customFormat="1" ht="12" customHeight="1">
      <c r="A331" s="829" t="s">
        <v>1497</v>
      </c>
      <c r="B331" s="115" t="s">
        <v>1498</v>
      </c>
      <c r="C331" s="116">
        <v>42546</v>
      </c>
      <c r="D331" s="116">
        <v>42560</v>
      </c>
      <c r="E331" s="115" t="s">
        <v>1520</v>
      </c>
      <c r="G331" s="361" t="s">
        <v>1521</v>
      </c>
      <c r="H331" s="115" t="s">
        <v>1522</v>
      </c>
      <c r="I331" s="115" t="s">
        <v>18</v>
      </c>
      <c r="J331" s="115" t="s">
        <v>51</v>
      </c>
      <c r="K331" s="115" t="s">
        <v>1523</v>
      </c>
      <c r="L331" s="115" t="s">
        <v>1524</v>
      </c>
      <c r="N331" s="128" t="s">
        <v>1751</v>
      </c>
      <c r="O331" s="1027">
        <f>1390+1790</f>
        <v>3180</v>
      </c>
      <c r="R331" s="682">
        <v>2</v>
      </c>
      <c r="S331" s="361" t="s">
        <v>1500</v>
      </c>
      <c r="T331" s="361">
        <v>1</v>
      </c>
      <c r="U331" s="1737">
        <f>O331/4</f>
        <v>795</v>
      </c>
      <c r="V331" s="120"/>
      <c r="Y331" s="1486"/>
      <c r="Z331" s="1486"/>
    </row>
    <row r="332" spans="1:26" s="115" customFormat="1" ht="12" customHeight="1">
      <c r="A332" s="115" t="s">
        <v>1508</v>
      </c>
      <c r="B332" s="115" t="s">
        <v>1509</v>
      </c>
      <c r="C332" s="116">
        <v>42567</v>
      </c>
      <c r="D332" s="116">
        <v>42581</v>
      </c>
      <c r="E332" s="115" t="s">
        <v>1510</v>
      </c>
      <c r="G332" s="361" t="s">
        <v>1511</v>
      </c>
      <c r="H332" s="115" t="s">
        <v>1512</v>
      </c>
      <c r="I332" s="115" t="s">
        <v>18</v>
      </c>
      <c r="J332" s="115" t="s">
        <v>51</v>
      </c>
      <c r="K332" s="115" t="s">
        <v>1513</v>
      </c>
      <c r="L332" s="115" t="s">
        <v>1514</v>
      </c>
      <c r="N332" s="128" t="s">
        <v>1577</v>
      </c>
      <c r="O332" s="1027">
        <f>1990*2+3*3*14</f>
        <v>4106</v>
      </c>
      <c r="Q332" s="115" t="s">
        <v>1516</v>
      </c>
      <c r="R332" s="682">
        <v>2</v>
      </c>
      <c r="S332" s="361" t="s">
        <v>1517</v>
      </c>
      <c r="T332" s="361">
        <v>3</v>
      </c>
      <c r="U332" s="1737">
        <f xml:space="preserve"> 995</f>
        <v>995</v>
      </c>
      <c r="V332" s="120"/>
      <c r="Y332" s="1486"/>
      <c r="Z332" s="1486"/>
    </row>
    <row r="333" spans="1:26" s="115" customFormat="1" ht="12" customHeight="1">
      <c r="A333" s="115" t="s">
        <v>1589</v>
      </c>
      <c r="B333" s="115" t="s">
        <v>1588</v>
      </c>
      <c r="C333" s="116">
        <v>42581</v>
      </c>
      <c r="D333" s="116">
        <v>42588</v>
      </c>
      <c r="G333" s="361"/>
      <c r="I333" s="115" t="s">
        <v>18</v>
      </c>
      <c r="J333" s="115" t="s">
        <v>51</v>
      </c>
      <c r="L333" s="830" t="s">
        <v>1593</v>
      </c>
      <c r="N333" s="128" t="s">
        <v>1676</v>
      </c>
      <c r="O333" s="1027">
        <f>2289-343.35</f>
        <v>1945.65</v>
      </c>
      <c r="Q333" s="115" t="s">
        <v>1591</v>
      </c>
      <c r="R333" s="682">
        <v>1</v>
      </c>
      <c r="S333" s="361">
        <v>5</v>
      </c>
      <c r="T333" s="361">
        <v>2</v>
      </c>
      <c r="U333" s="1737"/>
      <c r="V333" s="120">
        <v>42551</v>
      </c>
      <c r="W333" s="115" t="s">
        <v>1592</v>
      </c>
      <c r="X333" s="115" t="s">
        <v>1154</v>
      </c>
      <c r="Y333" s="1486"/>
      <c r="Z333" s="1486"/>
    </row>
    <row r="334" spans="1:26" s="115" customFormat="1" ht="12" customHeight="1">
      <c r="A334" s="115" t="s">
        <v>1567</v>
      </c>
      <c r="B334" s="115" t="s">
        <v>1568</v>
      </c>
      <c r="C334" s="116">
        <v>42588</v>
      </c>
      <c r="D334" s="116">
        <v>42595</v>
      </c>
      <c r="E334" s="115" t="s">
        <v>1569</v>
      </c>
      <c r="G334" s="361">
        <v>57310</v>
      </c>
      <c r="H334" s="115" t="s">
        <v>1570</v>
      </c>
      <c r="I334" s="115" t="s">
        <v>23</v>
      </c>
      <c r="J334" s="115" t="s">
        <v>19</v>
      </c>
      <c r="K334" s="115" t="s">
        <v>1571</v>
      </c>
      <c r="N334" s="128" t="s">
        <v>1690</v>
      </c>
      <c r="O334" s="1027">
        <v>1990</v>
      </c>
      <c r="Q334" s="115" t="s">
        <v>1573</v>
      </c>
      <c r="R334" s="682">
        <v>1</v>
      </c>
      <c r="S334" s="361">
        <v>5</v>
      </c>
      <c r="T334" s="361"/>
      <c r="U334" s="1737">
        <v>500</v>
      </c>
      <c r="V334" s="120">
        <v>42470</v>
      </c>
      <c r="W334" s="115" t="s">
        <v>1281</v>
      </c>
      <c r="X334" s="115" t="s">
        <v>1154</v>
      </c>
      <c r="Y334" s="1486"/>
      <c r="Z334" s="1486"/>
    </row>
    <row r="335" spans="1:26" s="115" customFormat="1" ht="12" customHeight="1">
      <c r="A335" s="115" t="s">
        <v>1556</v>
      </c>
      <c r="B335" s="115" t="s">
        <v>1557</v>
      </c>
      <c r="C335" s="116">
        <v>42595</v>
      </c>
      <c r="D335" s="116">
        <v>42602</v>
      </c>
      <c r="E335" s="115" t="s">
        <v>1558</v>
      </c>
      <c r="G335" s="361" t="s">
        <v>1559</v>
      </c>
      <c r="H335" s="115" t="s">
        <v>1560</v>
      </c>
      <c r="I335" s="115" t="s">
        <v>1561</v>
      </c>
      <c r="J335" s="115" t="s">
        <v>180</v>
      </c>
      <c r="L335" s="115" t="s">
        <v>1430</v>
      </c>
      <c r="N335" s="128" t="s">
        <v>1712</v>
      </c>
      <c r="O335" s="1027">
        <f>1990+20</f>
        <v>2010</v>
      </c>
      <c r="Q335" s="115" t="s">
        <v>1563</v>
      </c>
      <c r="R335" s="682">
        <v>1</v>
      </c>
      <c r="S335" s="361" t="s">
        <v>1564</v>
      </c>
      <c r="T335" s="361">
        <v>1</v>
      </c>
      <c r="U335" s="1737">
        <v>500</v>
      </c>
      <c r="V335" s="120">
        <v>42451</v>
      </c>
      <c r="W335" s="115" t="s">
        <v>1565</v>
      </c>
      <c r="X335" s="115" t="s">
        <v>1154</v>
      </c>
      <c r="Y335" s="1486"/>
      <c r="Z335" s="1486"/>
    </row>
    <row r="336" spans="1:26" s="115" customFormat="1" ht="12" customHeight="1">
      <c r="A336" s="115" t="s">
        <v>1599</v>
      </c>
      <c r="B336" s="115" t="s">
        <v>228</v>
      </c>
      <c r="C336" s="116">
        <v>42602</v>
      </c>
      <c r="D336" s="116">
        <v>42609</v>
      </c>
      <c r="E336" s="115" t="s">
        <v>1604</v>
      </c>
      <c r="G336" s="361" t="s">
        <v>1605</v>
      </c>
      <c r="H336" s="115" t="s">
        <v>1606</v>
      </c>
      <c r="I336" s="115" t="s">
        <v>36</v>
      </c>
      <c r="J336" s="115" t="s">
        <v>1600</v>
      </c>
      <c r="L336" s="831" t="s">
        <v>1623</v>
      </c>
      <c r="N336" s="128"/>
      <c r="O336" s="1027">
        <v>1290</v>
      </c>
      <c r="Q336" s="115" t="s">
        <v>1603</v>
      </c>
      <c r="R336" s="682">
        <v>1</v>
      </c>
      <c r="S336" s="361"/>
      <c r="T336" s="361"/>
      <c r="U336" s="1737">
        <v>400</v>
      </c>
      <c r="V336" s="120"/>
      <c r="Y336" s="1486"/>
      <c r="Z336" s="1486"/>
    </row>
    <row r="337" spans="1:26" s="832" customFormat="1" ht="12" customHeight="1">
      <c r="A337" s="832" t="s">
        <v>1596</v>
      </c>
      <c r="B337" s="832" t="s">
        <v>1597</v>
      </c>
      <c r="C337" s="833">
        <v>42609</v>
      </c>
      <c r="D337" s="833">
        <v>42616</v>
      </c>
      <c r="G337" s="834"/>
      <c r="I337" s="832" t="s">
        <v>18</v>
      </c>
      <c r="J337" s="832" t="s">
        <v>51</v>
      </c>
      <c r="L337" s="305" t="s">
        <v>1601</v>
      </c>
      <c r="N337" s="128" t="s">
        <v>1758</v>
      </c>
      <c r="O337" s="1028">
        <f xml:space="preserve"> 1505/1.15</f>
        <v>1308.6956521739132</v>
      </c>
      <c r="Q337" s="832" t="s">
        <v>1614</v>
      </c>
      <c r="R337" s="886">
        <v>1</v>
      </c>
      <c r="S337" s="834">
        <v>3</v>
      </c>
      <c r="T337" s="834">
        <v>1</v>
      </c>
      <c r="U337" s="1853"/>
      <c r="V337" s="837"/>
      <c r="W337" s="832" t="s">
        <v>1592</v>
      </c>
      <c r="Y337" s="2156"/>
      <c r="Z337" s="2156"/>
    </row>
    <row r="338" spans="1:26" s="115" customFormat="1" ht="12" customHeight="1">
      <c r="A338" s="115" t="s">
        <v>1619</v>
      </c>
      <c r="B338" s="115" t="s">
        <v>1602</v>
      </c>
      <c r="C338" s="116">
        <v>42616</v>
      </c>
      <c r="D338" s="116">
        <v>42623</v>
      </c>
      <c r="E338" s="115" t="s">
        <v>1608</v>
      </c>
      <c r="G338" s="361" t="s">
        <v>1610</v>
      </c>
      <c r="H338" s="115" t="s">
        <v>1609</v>
      </c>
      <c r="I338" s="115" t="s">
        <v>18</v>
      </c>
      <c r="J338" s="115" t="s">
        <v>51</v>
      </c>
      <c r="K338" s="115" t="s">
        <v>1611</v>
      </c>
      <c r="L338" s="124" t="s">
        <v>1612</v>
      </c>
      <c r="N338" s="860" t="s">
        <v>1701</v>
      </c>
      <c r="O338" s="1027">
        <v>1390</v>
      </c>
      <c r="Q338" s="115" t="s">
        <v>199</v>
      </c>
      <c r="R338" s="682">
        <v>1</v>
      </c>
      <c r="S338" s="361" t="s">
        <v>1616</v>
      </c>
      <c r="T338" s="361">
        <v>2</v>
      </c>
      <c r="U338" s="1737">
        <v>347.5</v>
      </c>
      <c r="V338" s="120"/>
      <c r="Y338" s="1486"/>
      <c r="Z338" s="1486"/>
    </row>
    <row r="339" spans="1:26" s="838" customFormat="1" ht="12" customHeight="1">
      <c r="A339" s="838" t="s">
        <v>1492</v>
      </c>
      <c r="B339" s="838" t="s">
        <v>264</v>
      </c>
      <c r="C339" s="839">
        <v>42616</v>
      </c>
      <c r="D339" s="839">
        <v>42630</v>
      </c>
      <c r="E339" s="838" t="s">
        <v>1491</v>
      </c>
      <c r="G339" s="840" t="s">
        <v>1493</v>
      </c>
      <c r="H339" s="838" t="s">
        <v>187</v>
      </c>
      <c r="I339" s="838" t="s">
        <v>18</v>
      </c>
      <c r="J339" s="838" t="s">
        <v>51</v>
      </c>
      <c r="K339" s="841" t="s">
        <v>1494</v>
      </c>
      <c r="L339" s="841" t="s">
        <v>1495</v>
      </c>
      <c r="N339" s="861" t="s">
        <v>1566</v>
      </c>
      <c r="O339" s="1029" t="s">
        <v>1566</v>
      </c>
      <c r="Q339" s="838" t="s">
        <v>1666</v>
      </c>
      <c r="R339" s="887">
        <v>0</v>
      </c>
      <c r="S339" s="840" t="s">
        <v>1496</v>
      </c>
      <c r="T339" s="840">
        <v>2</v>
      </c>
      <c r="U339" s="1854">
        <v>645</v>
      </c>
      <c r="V339" s="844">
        <v>42346</v>
      </c>
      <c r="W339" s="838" t="s">
        <v>1477</v>
      </c>
      <c r="X339" s="838" t="s">
        <v>1154</v>
      </c>
      <c r="Y339" s="1494"/>
      <c r="Z339" s="1494"/>
    </row>
    <row r="340" spans="1:26" s="845" customFormat="1" ht="12" customHeight="1">
      <c r="A340" s="845" t="s">
        <v>1544</v>
      </c>
      <c r="B340" s="845" t="s">
        <v>1545</v>
      </c>
      <c r="C340" s="846">
        <v>42623</v>
      </c>
      <c r="D340" s="846">
        <v>42630</v>
      </c>
      <c r="E340" s="845" t="s">
        <v>1549</v>
      </c>
      <c r="G340" s="847" t="s">
        <v>1550</v>
      </c>
      <c r="H340" s="845" t="s">
        <v>1551</v>
      </c>
      <c r="I340" s="845" t="s">
        <v>18</v>
      </c>
      <c r="J340" s="845" t="s">
        <v>51</v>
      </c>
      <c r="L340" s="845" t="s">
        <v>1546</v>
      </c>
      <c r="N340" s="128" t="s">
        <v>1719</v>
      </c>
      <c r="O340" s="1030">
        <f>(1190+1090+990)/4 +1190*3/4+9*7+70</f>
        <v>1843</v>
      </c>
      <c r="Q340" s="845" t="s">
        <v>1548</v>
      </c>
      <c r="R340" s="888">
        <v>1</v>
      </c>
      <c r="S340" s="847" t="s">
        <v>1300</v>
      </c>
      <c r="T340" s="847">
        <v>3</v>
      </c>
      <c r="U340" s="1855"/>
      <c r="V340" s="848">
        <v>42435</v>
      </c>
      <c r="X340" s="845" t="s">
        <v>1154</v>
      </c>
      <c r="Y340" s="2157"/>
      <c r="Z340" s="2157"/>
    </row>
    <row r="341" spans="1:26" s="832" customFormat="1" ht="12" customHeight="1">
      <c r="A341" s="832" t="s">
        <v>1621</v>
      </c>
      <c r="B341" s="832" t="s">
        <v>730</v>
      </c>
      <c r="C341" s="833">
        <v>42644</v>
      </c>
      <c r="D341" s="833">
        <v>42651</v>
      </c>
      <c r="G341" s="834"/>
      <c r="I341" s="832" t="s">
        <v>18</v>
      </c>
      <c r="J341" s="832" t="s">
        <v>51</v>
      </c>
      <c r="L341" s="849" t="s">
        <v>1622</v>
      </c>
      <c r="N341" s="128"/>
      <c r="O341" s="1028">
        <f>1120-168</f>
        <v>952</v>
      </c>
      <c r="R341" s="886">
        <v>1</v>
      </c>
      <c r="S341" s="834" t="s">
        <v>1517</v>
      </c>
      <c r="T341" s="834">
        <v>0</v>
      </c>
      <c r="U341" s="1853"/>
      <c r="V341" s="837"/>
      <c r="W341" s="832" t="s">
        <v>1592</v>
      </c>
      <c r="Y341" s="2156"/>
      <c r="Z341" s="2156"/>
    </row>
    <row r="342" spans="1:26" s="115" customFormat="1" ht="12" customHeight="1">
      <c r="A342" s="115" t="s">
        <v>486</v>
      </c>
      <c r="B342" s="115" t="s">
        <v>1620</v>
      </c>
      <c r="C342" s="116">
        <v>42658</v>
      </c>
      <c r="D342" s="116">
        <v>42665</v>
      </c>
      <c r="E342" s="115" t="s">
        <v>488</v>
      </c>
      <c r="G342" s="361">
        <v>95130</v>
      </c>
      <c r="H342" s="115" t="s">
        <v>489</v>
      </c>
      <c r="I342" s="115" t="s">
        <v>23</v>
      </c>
      <c r="J342" s="115" t="s">
        <v>19</v>
      </c>
      <c r="K342" s="115" t="s">
        <v>490</v>
      </c>
      <c r="L342" s="115" t="s">
        <v>491</v>
      </c>
      <c r="N342" s="128"/>
      <c r="O342" s="1027">
        <v>690</v>
      </c>
      <c r="R342" s="682">
        <v>1</v>
      </c>
      <c r="S342" s="361">
        <v>4</v>
      </c>
      <c r="T342" s="361">
        <v>0</v>
      </c>
      <c r="U342" s="1737">
        <f>O342/4</f>
        <v>172.5</v>
      </c>
      <c r="V342" s="120"/>
      <c r="Y342" s="1486"/>
      <c r="Z342" s="1486"/>
    </row>
    <row r="343" spans="1:26" s="408" customFormat="1" ht="12" customHeight="1">
      <c r="A343" s="408" t="s">
        <v>1624</v>
      </c>
      <c r="B343" s="408" t="s">
        <v>1625</v>
      </c>
      <c r="C343" s="409">
        <v>42727</v>
      </c>
      <c r="D343" s="409">
        <v>42734</v>
      </c>
      <c r="E343" s="408" t="s">
        <v>1626</v>
      </c>
      <c r="G343" s="410">
        <v>49220</v>
      </c>
      <c r="H343" s="408" t="s">
        <v>1627</v>
      </c>
      <c r="I343" s="408" t="s">
        <v>23</v>
      </c>
      <c r="J343" s="408" t="s">
        <v>19</v>
      </c>
      <c r="L343" s="408" t="s">
        <v>1628</v>
      </c>
      <c r="N343" s="128" t="s">
        <v>1785</v>
      </c>
      <c r="O343" s="1031">
        <v>272.5</v>
      </c>
      <c r="Q343" s="408" t="s">
        <v>1025</v>
      </c>
      <c r="R343" s="889">
        <v>0</v>
      </c>
      <c r="S343" s="410" t="s">
        <v>199</v>
      </c>
      <c r="T343" s="410">
        <v>1</v>
      </c>
      <c r="U343" s="1856">
        <f>1090/4</f>
        <v>272.5</v>
      </c>
      <c r="V343" s="416"/>
      <c r="Y343" s="1495"/>
      <c r="Z343" s="1495"/>
    </row>
    <row r="344" spans="1:26" s="115" customFormat="1" ht="12" customHeight="1">
      <c r="A344" s="115" t="s">
        <v>1633</v>
      </c>
      <c r="B344" s="115" t="s">
        <v>1634</v>
      </c>
      <c r="C344" s="116">
        <v>42734</v>
      </c>
      <c r="D344" s="116">
        <v>42742</v>
      </c>
      <c r="E344" s="115" t="s">
        <v>1635</v>
      </c>
      <c r="G344" s="361" t="s">
        <v>1636</v>
      </c>
      <c r="H344" s="115" t="s">
        <v>1637</v>
      </c>
      <c r="I344" s="115" t="s">
        <v>18</v>
      </c>
      <c r="J344" s="115" t="s">
        <v>51</v>
      </c>
      <c r="L344" s="115" t="s">
        <v>1638</v>
      </c>
      <c r="N344" s="128"/>
      <c r="O344" s="1027">
        <v>970</v>
      </c>
      <c r="Q344" s="115" t="s">
        <v>1640</v>
      </c>
      <c r="R344" s="682">
        <v>1</v>
      </c>
      <c r="S344" s="361" t="s">
        <v>1343</v>
      </c>
      <c r="T344" s="361">
        <v>1</v>
      </c>
      <c r="U344" s="1737">
        <v>250</v>
      </c>
      <c r="V344" s="120">
        <v>42716</v>
      </c>
      <c r="W344" s="115" t="s">
        <v>1641</v>
      </c>
      <c r="X344" s="115" t="s">
        <v>1217</v>
      </c>
      <c r="Y344" s="1486"/>
      <c r="Z344" s="1486"/>
    </row>
    <row r="345" spans="1:26" s="21" customFormat="1" ht="12" customHeight="1">
      <c r="C345" s="30"/>
      <c r="D345" s="30"/>
      <c r="G345" s="764"/>
      <c r="N345" s="128" t="s">
        <v>1791</v>
      </c>
      <c r="O345" s="1013"/>
      <c r="R345" s="876"/>
      <c r="S345" s="764"/>
      <c r="T345" s="764"/>
      <c r="U345" s="1841"/>
      <c r="V345" s="78"/>
      <c r="Y345" s="2150"/>
      <c r="Z345" s="2150"/>
    </row>
    <row r="346" spans="1:26" s="21" customFormat="1" ht="12" customHeight="1">
      <c r="C346" s="30"/>
      <c r="D346" s="30"/>
      <c r="G346" s="764"/>
      <c r="N346" s="49"/>
      <c r="O346" s="1013"/>
      <c r="R346" s="876"/>
      <c r="S346" s="764"/>
      <c r="T346" s="764"/>
      <c r="U346" s="1841"/>
      <c r="V346" s="78"/>
      <c r="Y346" s="2150"/>
      <c r="Z346" s="2150"/>
    </row>
    <row r="347" spans="1:26" s="21" customFormat="1" ht="12" customHeight="1">
      <c r="C347" s="30"/>
      <c r="D347" s="30"/>
      <c r="G347" s="764"/>
      <c r="N347" s="51"/>
      <c r="O347" s="1013"/>
      <c r="R347" s="876"/>
      <c r="S347" s="764"/>
      <c r="T347" s="764"/>
      <c r="U347" s="1841"/>
      <c r="V347" s="78"/>
      <c r="Y347" s="2150"/>
      <c r="Z347" s="2150"/>
    </row>
    <row r="348" spans="1:26" ht="12" customHeight="1">
      <c r="K348" s="817"/>
      <c r="N348" s="49"/>
      <c r="O348" s="1014"/>
      <c r="U348" s="1845"/>
      <c r="X348" s="814"/>
    </row>
    <row r="349" spans="1:26" ht="12" customHeight="1">
      <c r="N349" s="49"/>
      <c r="O349" s="1014"/>
      <c r="U349" s="1845"/>
    </row>
    <row r="350" spans="1:26" ht="12" customHeight="1">
      <c r="N350" s="49"/>
      <c r="O350" s="1014"/>
      <c r="U350" s="1845"/>
    </row>
    <row r="351" spans="1:26" ht="12" customHeight="1">
      <c r="N351" s="49"/>
      <c r="O351" s="1014"/>
      <c r="U351" s="1845"/>
    </row>
    <row r="352" spans="1:26" ht="12" customHeight="1">
      <c r="N352" s="49"/>
      <c r="O352" s="1014"/>
      <c r="U352" s="1845"/>
    </row>
    <row r="353" spans="1:21" ht="12" customHeight="1">
      <c r="N353" s="49"/>
      <c r="O353" s="1014"/>
      <c r="U353" s="1845"/>
    </row>
    <row r="354" spans="1:21" ht="12" customHeight="1">
      <c r="A354" s="10"/>
      <c r="N354" s="49"/>
      <c r="O354" s="1014"/>
      <c r="U354" s="1822"/>
    </row>
    <row r="355" spans="1:21" ht="12" customHeight="1">
      <c r="H355" s="808"/>
      <c r="N355" s="49"/>
      <c r="O355" s="1014"/>
      <c r="U355" s="1845"/>
    </row>
    <row r="356" spans="1:21" ht="12" customHeight="1">
      <c r="A356" s="809"/>
      <c r="N356" s="49"/>
      <c r="O356" s="1014"/>
      <c r="U356" s="1822"/>
    </row>
    <row r="357" spans="1:21" ht="12" customHeight="1">
      <c r="A357" s="809"/>
      <c r="E357" s="811"/>
      <c r="N357" s="49"/>
      <c r="O357" s="1014"/>
      <c r="U357" s="1822"/>
    </row>
    <row r="358" spans="1:21" ht="12" customHeight="1">
      <c r="A358" s="809"/>
      <c r="E358" s="811"/>
      <c r="N358" s="49"/>
      <c r="O358" s="1014"/>
      <c r="U358" s="1845"/>
    </row>
    <row r="359" spans="1:21" ht="12" customHeight="1">
      <c r="A359" s="49"/>
      <c r="E359" s="811"/>
      <c r="N359" s="49"/>
      <c r="O359" s="1014"/>
      <c r="U359" s="1822"/>
    </row>
    <row r="360" spans="1:21" ht="12" customHeight="1">
      <c r="A360" s="49"/>
      <c r="N360" s="49"/>
      <c r="O360" s="1014"/>
      <c r="U360" s="1846"/>
    </row>
    <row r="361" spans="1:21" ht="12" customHeight="1">
      <c r="A361" s="10"/>
      <c r="N361" s="49"/>
      <c r="O361" s="1014"/>
      <c r="U361" s="1846"/>
    </row>
    <row r="362" spans="1:21" ht="12" customHeight="1">
      <c r="N362" s="73"/>
      <c r="O362" s="1014"/>
      <c r="U362" s="1847"/>
    </row>
    <row r="363" spans="1:21" ht="12" customHeight="1">
      <c r="E363" s="811"/>
      <c r="L363" s="814">
        <f>O351-U351</f>
        <v>0</v>
      </c>
      <c r="N363" s="73"/>
      <c r="O363" s="1014"/>
      <c r="S363" s="132">
        <f>O353-U353</f>
        <v>0</v>
      </c>
      <c r="U363" s="1822"/>
    </row>
    <row r="364" spans="1:21" ht="12" customHeight="1">
      <c r="N364" s="49"/>
      <c r="O364" s="1014"/>
      <c r="U364" s="1822"/>
    </row>
    <row r="365" spans="1:21" ht="12" customHeight="1">
      <c r="E365" s="811"/>
      <c r="N365" s="49"/>
      <c r="O365" s="1014"/>
      <c r="U365" s="1849"/>
    </row>
    <row r="366" spans="1:21" ht="12" customHeight="1">
      <c r="N366" s="49"/>
      <c r="O366" s="1014"/>
      <c r="U366" s="1822"/>
    </row>
    <row r="367" spans="1:21" ht="12" customHeight="1">
      <c r="N367" s="49"/>
      <c r="O367" s="1014"/>
      <c r="U367" s="1822"/>
    </row>
    <row r="368" spans="1:21" ht="12" customHeight="1">
      <c r="N368" s="49"/>
      <c r="O368" s="1014"/>
      <c r="U368" s="1822"/>
    </row>
    <row r="369" spans="1:26" ht="12" customHeight="1">
      <c r="A369" s="7"/>
      <c r="B369" s="7"/>
      <c r="C369" s="29"/>
      <c r="D369" s="29"/>
      <c r="F369" s="7"/>
      <c r="G369" s="133"/>
      <c r="H369" s="7"/>
      <c r="I369" s="7"/>
      <c r="J369" s="7"/>
      <c r="K369" s="7"/>
      <c r="L369" s="7"/>
      <c r="M369" s="7"/>
      <c r="N369" s="7"/>
      <c r="O369" s="1012"/>
      <c r="P369" s="7"/>
      <c r="S369" s="133"/>
      <c r="T369" s="133"/>
      <c r="U369" s="1819"/>
    </row>
    <row r="370" spans="1:26" ht="12" customHeight="1" thickBot="1">
      <c r="A370" s="7"/>
      <c r="B370" s="773"/>
      <c r="C370" s="29"/>
      <c r="D370" s="29"/>
      <c r="F370" s="7"/>
      <c r="G370" s="133"/>
      <c r="H370" s="7"/>
      <c r="I370" s="7"/>
      <c r="J370" s="7"/>
      <c r="K370" s="7"/>
      <c r="L370" s="7"/>
      <c r="M370" s="7"/>
      <c r="N370" s="7"/>
      <c r="O370" s="1012"/>
      <c r="P370" s="7"/>
      <c r="S370" s="133"/>
      <c r="T370" s="133"/>
      <c r="U370" s="1819"/>
    </row>
    <row r="371" spans="1:26" ht="12" customHeight="1" thickBot="1">
      <c r="A371" s="18" t="s">
        <v>1574</v>
      </c>
      <c r="B371" s="767">
        <f>SUM(O312:O371)</f>
        <v>32650.845652173914</v>
      </c>
      <c r="C371" s="826">
        <f>B371/B305</f>
        <v>0.98601333732481466</v>
      </c>
      <c r="D371" s="791" t="s">
        <v>574</v>
      </c>
      <c r="E371" s="782"/>
      <c r="F371" s="7"/>
      <c r="G371" s="133"/>
      <c r="H371" s="7"/>
      <c r="I371" s="7"/>
      <c r="J371" s="7"/>
      <c r="K371" s="7"/>
      <c r="L371" s="7"/>
      <c r="M371" s="7"/>
      <c r="N371" s="7"/>
      <c r="O371" s="1012"/>
      <c r="P371" s="7"/>
      <c r="S371" s="133"/>
      <c r="T371" s="133"/>
      <c r="U371" s="1819"/>
    </row>
    <row r="372" spans="1:26" ht="12" customHeight="1" thickBot="1">
      <c r="A372" s="768" t="s">
        <v>463</v>
      </c>
      <c r="B372" s="827">
        <f>SUM(R299:R371)</f>
        <v>26</v>
      </c>
      <c r="C372" s="783">
        <f>B371/B372</f>
        <v>1255.8017558528429</v>
      </c>
      <c r="D372" s="17" t="s">
        <v>575</v>
      </c>
      <c r="E372" s="13"/>
      <c r="F372" s="7"/>
      <c r="G372" s="133"/>
      <c r="H372" s="7"/>
      <c r="I372" s="7"/>
      <c r="J372" s="7"/>
      <c r="K372" s="7"/>
      <c r="L372" s="7"/>
      <c r="M372" s="7"/>
      <c r="N372" s="7"/>
      <c r="O372" s="1012"/>
      <c r="P372" s="7"/>
      <c r="S372" s="133">
        <v>3270</v>
      </c>
      <c r="T372" s="133"/>
      <c r="U372" s="1819"/>
      <c r="V372" s="86">
        <f xml:space="preserve"> 3270/4</f>
        <v>817.5</v>
      </c>
    </row>
    <row r="373" spans="1:26" ht="12" customHeight="1" thickBot="1">
      <c r="A373" s="7"/>
      <c r="B373" s="7"/>
      <c r="C373" s="29"/>
      <c r="D373" s="17" t="s">
        <v>576</v>
      </c>
      <c r="E373" s="13"/>
      <c r="F373" s="7"/>
      <c r="G373" s="133"/>
      <c r="H373" s="7"/>
      <c r="I373" s="7"/>
      <c r="J373" s="7"/>
      <c r="L373" s="7"/>
      <c r="M373" s="7"/>
      <c r="N373" s="7"/>
      <c r="O373" s="1012"/>
      <c r="P373" s="7"/>
      <c r="S373" s="133">
        <v>1190</v>
      </c>
      <c r="T373" s="133">
        <f>S373/4</f>
        <v>297.5</v>
      </c>
      <c r="U373" s="1835">
        <f>S373-T373</f>
        <v>892.5</v>
      </c>
      <c r="V373" s="86">
        <f>1190/4*3</f>
        <v>892.5</v>
      </c>
    </row>
    <row r="374" spans="1:26" ht="12" customHeight="1" thickBot="1">
      <c r="A374" s="18" t="s">
        <v>464</v>
      </c>
      <c r="B374" s="851">
        <f>537.56*12</f>
        <v>6450.7199999999993</v>
      </c>
      <c r="C374" s="29"/>
      <c r="D374" s="17" t="s">
        <v>1304</v>
      </c>
      <c r="E374" s="13"/>
      <c r="F374" s="7"/>
      <c r="G374" s="133"/>
      <c r="H374" s="7"/>
      <c r="I374" s="7"/>
      <c r="J374" s="7"/>
      <c r="L374" s="7"/>
      <c r="M374" s="7"/>
      <c r="N374" s="7"/>
      <c r="O374" s="1012"/>
      <c r="P374" s="7"/>
      <c r="S374" s="133">
        <v>1090</v>
      </c>
      <c r="T374" s="133"/>
      <c r="U374" s="1819"/>
    </row>
    <row r="375" spans="1:26" ht="12" customHeight="1" thickBot="1">
      <c r="A375" s="852" t="s">
        <v>574</v>
      </c>
      <c r="B375" s="853">
        <f>E377</f>
        <v>6962.6399999999976</v>
      </c>
      <c r="C375" s="29"/>
      <c r="D375" s="17" t="s">
        <v>577</v>
      </c>
      <c r="E375" s="13"/>
      <c r="F375" s="7"/>
      <c r="G375" s="133"/>
      <c r="H375" s="7"/>
      <c r="I375" s="7"/>
      <c r="J375" s="7"/>
      <c r="L375" s="7"/>
      <c r="M375" s="7"/>
      <c r="N375" s="7"/>
      <c r="O375" s="1012"/>
      <c r="P375" s="7"/>
      <c r="S375" s="133">
        <v>990</v>
      </c>
      <c r="T375" s="133"/>
      <c r="U375" s="1819"/>
    </row>
    <row r="376" spans="1:26" ht="12" customHeight="1" thickBot="1">
      <c r="A376" s="510" t="s">
        <v>1534</v>
      </c>
      <c r="B376" s="854">
        <f>B371-B374-B375</f>
        <v>19237.485652173913</v>
      </c>
      <c r="C376" s="29"/>
      <c r="D376" s="786" t="s">
        <v>578</v>
      </c>
      <c r="E376" s="541"/>
      <c r="F376" s="7"/>
      <c r="G376" s="133"/>
      <c r="H376" s="7"/>
      <c r="I376" s="7"/>
      <c r="J376" s="7"/>
      <c r="L376" s="773"/>
      <c r="M376" s="7"/>
      <c r="N376" s="7"/>
      <c r="O376" s="1012"/>
      <c r="P376" s="7"/>
      <c r="S376" s="133" t="e">
        <f>S373:S375</f>
        <v>#VALUE!</v>
      </c>
      <c r="T376" s="133"/>
      <c r="U376" s="1819"/>
    </row>
    <row r="377" spans="1:26" ht="12" customHeight="1" thickBot="1">
      <c r="A377" s="768" t="s">
        <v>466</v>
      </c>
      <c r="B377" s="800">
        <f>B376/12</f>
        <v>1603.1238043478261</v>
      </c>
      <c r="C377" s="29"/>
      <c r="D377" s="801" t="s">
        <v>585</v>
      </c>
      <c r="E377" s="855">
        <v>6962.6399999999976</v>
      </c>
      <c r="F377" s="7"/>
      <c r="G377" s="133"/>
      <c r="H377" s="7"/>
      <c r="I377" s="7"/>
      <c r="J377" s="7"/>
      <c r="L377" s="7"/>
      <c r="M377" s="7"/>
      <c r="N377" s="7"/>
      <c r="O377" s="1012"/>
      <c r="P377" s="7"/>
      <c r="S377" s="133"/>
      <c r="T377" s="133"/>
      <c r="U377" s="1819"/>
    </row>
    <row r="378" spans="1:26" ht="12" customHeight="1">
      <c r="C378" s="8"/>
      <c r="D378" s="8"/>
    </row>
    <row r="379" spans="1:26" s="856" customFormat="1" ht="12" customHeight="1">
      <c r="G379" s="857"/>
      <c r="O379" s="1032"/>
      <c r="R379" s="890"/>
      <c r="S379" s="857"/>
      <c r="T379" s="857"/>
      <c r="U379" s="1857"/>
      <c r="V379" s="1602"/>
      <c r="Y379" s="858"/>
      <c r="Z379" s="858"/>
    </row>
    <row r="380" spans="1:26" s="856" customFormat="1" ht="12" customHeight="1">
      <c r="G380" s="857"/>
      <c r="O380" s="1032"/>
      <c r="R380" s="890"/>
      <c r="S380" s="857"/>
      <c r="T380" s="857"/>
      <c r="U380" s="1857"/>
      <c r="V380" s="1602"/>
      <c r="Y380" s="858"/>
      <c r="Z380" s="858"/>
    </row>
    <row r="381" spans="1:26" s="856" customFormat="1" ht="12" customHeight="1">
      <c r="G381" s="857"/>
      <c r="O381" s="1032"/>
      <c r="R381" s="890"/>
      <c r="S381" s="857"/>
      <c r="T381" s="857"/>
      <c r="U381" s="1857"/>
      <c r="V381" s="1602"/>
      <c r="Y381" s="858"/>
      <c r="Z381" s="858"/>
    </row>
    <row r="382" spans="1:26" s="856" customFormat="1" ht="12" customHeight="1">
      <c r="A382" s="9" t="s">
        <v>1575</v>
      </c>
      <c r="G382" s="857"/>
      <c r="O382" s="1032"/>
      <c r="R382" s="890"/>
      <c r="S382" s="857"/>
      <c r="T382" s="857"/>
      <c r="U382" s="1858">
        <f>U391*3</f>
        <v>864.75</v>
      </c>
      <c r="V382" s="1602"/>
      <c r="Y382" s="858"/>
      <c r="Z382" s="858"/>
    </row>
    <row r="383" spans="1:26" s="856" customFormat="1" ht="12" customHeight="1">
      <c r="A383" s="9"/>
      <c r="G383" s="857"/>
      <c r="O383" s="1032"/>
      <c r="R383" s="890"/>
      <c r="S383" s="857"/>
      <c r="T383" s="857"/>
      <c r="U383" s="1857"/>
      <c r="V383" s="1602"/>
      <c r="Y383" s="858"/>
      <c r="Z383" s="858"/>
    </row>
    <row r="384" spans="1:26" s="115" customFormat="1" ht="12" customHeight="1">
      <c r="A384" s="115" t="s">
        <v>1687</v>
      </c>
      <c r="B384" s="115" t="s">
        <v>304</v>
      </c>
      <c r="C384" s="116">
        <v>42806</v>
      </c>
      <c r="D384" s="116">
        <v>42819</v>
      </c>
      <c r="E384" s="115" t="s">
        <v>1681</v>
      </c>
      <c r="G384" s="361">
        <v>95230</v>
      </c>
      <c r="H384" s="115" t="s">
        <v>1682</v>
      </c>
      <c r="I384" s="115" t="s">
        <v>23</v>
      </c>
      <c r="J384" s="115" t="s">
        <v>19</v>
      </c>
      <c r="L384" s="115" t="s">
        <v>1683</v>
      </c>
      <c r="N384" s="128" t="s">
        <v>1684</v>
      </c>
      <c r="O384" s="1027">
        <f>690*2+42+70</f>
        <v>1492</v>
      </c>
      <c r="Q384" s="115" t="s">
        <v>1685</v>
      </c>
      <c r="R384" s="682">
        <v>2</v>
      </c>
      <c r="S384" s="361">
        <v>2</v>
      </c>
      <c r="T384" s="361">
        <v>1</v>
      </c>
      <c r="U384" s="1737">
        <v>355.5</v>
      </c>
      <c r="V384" s="120">
        <v>42778</v>
      </c>
      <c r="W384" s="115" t="s">
        <v>1686</v>
      </c>
      <c r="Y384" s="1486"/>
      <c r="Z384" s="1486"/>
    </row>
    <row r="385" spans="1:26" s="115" customFormat="1" ht="12" customHeight="1">
      <c r="A385" s="115" t="s">
        <v>1653</v>
      </c>
      <c r="B385" s="115" t="s">
        <v>264</v>
      </c>
      <c r="C385" s="116">
        <v>42826</v>
      </c>
      <c r="D385" s="116">
        <v>42833</v>
      </c>
      <c r="E385" s="115" t="s">
        <v>1654</v>
      </c>
      <c r="G385" s="361" t="s">
        <v>1655</v>
      </c>
      <c r="H385" s="115" t="s">
        <v>937</v>
      </c>
      <c r="I385" s="115" t="s">
        <v>18</v>
      </c>
      <c r="J385" s="115" t="s">
        <v>51</v>
      </c>
      <c r="K385" s="115" t="s">
        <v>1656</v>
      </c>
      <c r="L385" s="115" t="s">
        <v>1657</v>
      </c>
      <c r="N385" s="128" t="s">
        <v>1652</v>
      </c>
      <c r="O385" s="1027">
        <v>690</v>
      </c>
      <c r="R385" s="682">
        <v>1</v>
      </c>
      <c r="S385" s="361">
        <v>2</v>
      </c>
      <c r="T385" s="361">
        <v>1</v>
      </c>
      <c r="U385" s="1737">
        <v>177.25</v>
      </c>
      <c r="V385" s="120">
        <v>42712</v>
      </c>
      <c r="Y385" s="1486"/>
      <c r="Z385" s="1486"/>
    </row>
    <row r="386" spans="1:26" s="115" customFormat="1" ht="12" customHeight="1">
      <c r="A386" s="115" t="s">
        <v>1062</v>
      </c>
      <c r="B386" s="115" t="s">
        <v>1063</v>
      </c>
      <c r="C386" s="116">
        <v>42833</v>
      </c>
      <c r="D386" s="116">
        <v>42840</v>
      </c>
      <c r="E386" s="115" t="s">
        <v>1064</v>
      </c>
      <c r="G386" s="361" t="s">
        <v>1065</v>
      </c>
      <c r="H386" s="115" t="s">
        <v>54</v>
      </c>
      <c r="I386" s="115" t="s">
        <v>54</v>
      </c>
      <c r="J386" s="115" t="s">
        <v>19</v>
      </c>
      <c r="K386" s="115" t="s">
        <v>1067</v>
      </c>
      <c r="L386" s="115" t="s">
        <v>1066</v>
      </c>
      <c r="N386" s="363" t="s">
        <v>1068</v>
      </c>
      <c r="O386" s="1027">
        <f>U386*4</f>
        <v>790</v>
      </c>
      <c r="Q386" s="115" t="s">
        <v>1183</v>
      </c>
      <c r="R386" s="682">
        <v>1</v>
      </c>
      <c r="S386" s="361" t="s">
        <v>1518</v>
      </c>
      <c r="T386" s="361">
        <v>1</v>
      </c>
      <c r="U386" s="1737">
        <v>197.5</v>
      </c>
      <c r="V386" s="120" t="s">
        <v>1519</v>
      </c>
      <c r="W386" s="115" t="s">
        <v>1071</v>
      </c>
      <c r="X386" s="115" t="s">
        <v>1154</v>
      </c>
      <c r="Y386" s="1486"/>
      <c r="Z386" s="1486"/>
    </row>
    <row r="387" spans="1:26" s="832" customFormat="1" ht="12" customHeight="1">
      <c r="A387" s="832" t="s">
        <v>1698</v>
      </c>
      <c r="B387" s="832" t="s">
        <v>1696</v>
      </c>
      <c r="C387" s="833">
        <v>42847</v>
      </c>
      <c r="D387" s="833">
        <v>42854</v>
      </c>
      <c r="G387" s="834"/>
      <c r="H387" s="832" t="s">
        <v>18</v>
      </c>
      <c r="I387" s="832" t="s">
        <v>18</v>
      </c>
      <c r="L387" s="832" t="s">
        <v>1697</v>
      </c>
      <c r="N387" s="835" t="s">
        <v>1743</v>
      </c>
      <c r="O387" s="1028">
        <f>910-136.5+20+70</f>
        <v>863.5</v>
      </c>
      <c r="Q387" s="832" t="s">
        <v>199</v>
      </c>
      <c r="R387" s="886">
        <v>1</v>
      </c>
      <c r="S387" s="834">
        <v>2</v>
      </c>
      <c r="T387" s="834">
        <v>1</v>
      </c>
      <c r="U387" s="1853">
        <v>300</v>
      </c>
      <c r="V387" s="837">
        <v>42785</v>
      </c>
      <c r="W387" s="832" t="s">
        <v>1592</v>
      </c>
      <c r="Y387" s="2156"/>
      <c r="Z387" s="2156"/>
    </row>
    <row r="388" spans="1:26" s="115" customFormat="1" ht="12" customHeight="1">
      <c r="A388" s="115" t="s">
        <v>1730</v>
      </c>
      <c r="B388" s="115" t="s">
        <v>1731</v>
      </c>
      <c r="C388" s="116">
        <v>42868</v>
      </c>
      <c r="D388" s="116">
        <v>42882</v>
      </c>
      <c r="E388" s="115" t="s">
        <v>1732</v>
      </c>
      <c r="G388" s="361" t="s">
        <v>1733</v>
      </c>
      <c r="I388" s="115" t="s">
        <v>18</v>
      </c>
      <c r="J388" s="115" t="s">
        <v>51</v>
      </c>
      <c r="L388" s="115" t="s">
        <v>1734</v>
      </c>
      <c r="N388" s="128" t="s">
        <v>1735</v>
      </c>
      <c r="O388" s="1027">
        <v>1400</v>
      </c>
      <c r="Q388" s="115" t="s">
        <v>1736</v>
      </c>
      <c r="R388" s="682">
        <v>2</v>
      </c>
      <c r="S388" s="361">
        <v>2</v>
      </c>
      <c r="T388" s="361">
        <v>2</v>
      </c>
      <c r="U388" s="1737">
        <v>347.5</v>
      </c>
      <c r="V388" s="120"/>
      <c r="Y388" s="1486"/>
      <c r="Z388" s="1486"/>
    </row>
    <row r="389" spans="1:26" s="115" customFormat="1" ht="12" customHeight="1">
      <c r="A389" s="115" t="s">
        <v>1658</v>
      </c>
      <c r="B389" s="115" t="s">
        <v>1659</v>
      </c>
      <c r="C389" s="116">
        <v>42882</v>
      </c>
      <c r="D389" s="116">
        <v>42889</v>
      </c>
      <c r="E389" s="115" t="s">
        <v>1660</v>
      </c>
      <c r="G389" s="361" t="s">
        <v>1661</v>
      </c>
      <c r="H389" s="115" t="s">
        <v>18</v>
      </c>
      <c r="I389" s="115" t="s">
        <v>1662</v>
      </c>
      <c r="J389" s="115" t="s">
        <v>51</v>
      </c>
      <c r="K389" s="115" t="s">
        <v>1663</v>
      </c>
      <c r="L389" s="115" t="s">
        <v>1664</v>
      </c>
      <c r="N389" s="128" t="s">
        <v>1761</v>
      </c>
      <c r="O389" s="1027">
        <v>1090</v>
      </c>
      <c r="R389" s="682">
        <v>1</v>
      </c>
      <c r="S389" s="361">
        <v>2</v>
      </c>
      <c r="T389" s="361">
        <v>1</v>
      </c>
      <c r="U389" s="1737">
        <v>272.5</v>
      </c>
      <c r="V389" s="120">
        <v>42750</v>
      </c>
      <c r="W389" s="115" t="s">
        <v>1665</v>
      </c>
      <c r="Y389" s="1486"/>
      <c r="Z389" s="1486"/>
    </row>
    <row r="390" spans="1:26" s="115" customFormat="1" ht="12" customHeight="1">
      <c r="A390" s="505" t="s">
        <v>601</v>
      </c>
      <c r="B390" s="115" t="s">
        <v>347</v>
      </c>
      <c r="C390" s="116">
        <v>42889</v>
      </c>
      <c r="D390" s="116">
        <v>42896</v>
      </c>
      <c r="E390" s="115" t="s">
        <v>348</v>
      </c>
      <c r="G390" s="361" t="s">
        <v>349</v>
      </c>
      <c r="H390" s="115" t="s">
        <v>350</v>
      </c>
      <c r="I390" s="115" t="s">
        <v>54</v>
      </c>
      <c r="J390" s="115" t="s">
        <v>19</v>
      </c>
      <c r="L390" s="115" t="s">
        <v>351</v>
      </c>
      <c r="N390" s="128" t="s">
        <v>352</v>
      </c>
      <c r="O390" s="1033">
        <v>1090</v>
      </c>
      <c r="Q390" s="115" t="s">
        <v>1679</v>
      </c>
      <c r="R390" s="682">
        <v>1</v>
      </c>
      <c r="S390" s="361">
        <v>6</v>
      </c>
      <c r="T390" s="361">
        <v>1</v>
      </c>
      <c r="U390" s="1859">
        <v>275</v>
      </c>
      <c r="V390" s="120"/>
      <c r="W390" s="115" t="s">
        <v>1519</v>
      </c>
      <c r="Y390" s="1486"/>
      <c r="Z390" s="1486"/>
    </row>
    <row r="391" spans="1:26" s="115" customFormat="1" ht="12" customHeight="1">
      <c r="A391" s="115" t="s">
        <v>1738</v>
      </c>
      <c r="B391" s="115" t="s">
        <v>1739</v>
      </c>
      <c r="C391" s="116">
        <v>42896</v>
      </c>
      <c r="D391" s="116">
        <v>42903</v>
      </c>
      <c r="E391" s="115" t="s">
        <v>1740</v>
      </c>
      <c r="G391" s="361"/>
      <c r="H391" s="115" t="s">
        <v>1741</v>
      </c>
      <c r="I391" s="115" t="s">
        <v>18</v>
      </c>
      <c r="J391" s="115" t="s">
        <v>1023</v>
      </c>
      <c r="L391" s="115" t="s">
        <v>1742</v>
      </c>
      <c r="N391" s="8"/>
      <c r="O391" s="1033">
        <f>1090 + 3*3*7</f>
        <v>1153</v>
      </c>
      <c r="Q391" s="115" t="s">
        <v>1744</v>
      </c>
      <c r="R391" s="682">
        <v>1</v>
      </c>
      <c r="S391" s="361">
        <v>3</v>
      </c>
      <c r="T391" s="361">
        <v>3</v>
      </c>
      <c r="U391" s="1859">
        <v>288.25</v>
      </c>
      <c r="V391" s="120"/>
      <c r="W391" s="115" t="s">
        <v>1651</v>
      </c>
      <c r="Y391" s="1486"/>
      <c r="Z391" s="1486"/>
    </row>
    <row r="392" spans="1:26" s="115" customFormat="1" ht="12" customHeight="1">
      <c r="A392" s="115" t="s">
        <v>1642</v>
      </c>
      <c r="B392" s="115" t="s">
        <v>1643</v>
      </c>
      <c r="C392" s="116">
        <v>42903</v>
      </c>
      <c r="D392" s="116">
        <v>42917</v>
      </c>
      <c r="E392" s="115" t="s">
        <v>1644</v>
      </c>
      <c r="G392" s="361" t="s">
        <v>1645</v>
      </c>
      <c r="H392" s="115" t="s">
        <v>1646</v>
      </c>
      <c r="I392" s="115" t="s">
        <v>18</v>
      </c>
      <c r="J392" s="115" t="s">
        <v>51</v>
      </c>
      <c r="K392" s="115" t="s">
        <v>1648</v>
      </c>
      <c r="L392" s="115" t="s">
        <v>1647</v>
      </c>
      <c r="N392" s="128" t="s">
        <v>1649</v>
      </c>
      <c r="O392" s="1027">
        <f>1190+1290</f>
        <v>2480</v>
      </c>
      <c r="R392" s="682">
        <v>2</v>
      </c>
      <c r="S392" s="361" t="s">
        <v>1650</v>
      </c>
      <c r="T392" s="361">
        <v>2</v>
      </c>
      <c r="U392" s="1737">
        <v>620</v>
      </c>
      <c r="V392" s="120">
        <v>42719</v>
      </c>
      <c r="W392" s="115" t="s">
        <v>1651</v>
      </c>
      <c r="X392" s="115" t="s">
        <v>1154</v>
      </c>
      <c r="Y392" s="1486"/>
      <c r="Z392" s="1486"/>
    </row>
    <row r="393" spans="1:26" s="115" customFormat="1" ht="12" customHeight="1">
      <c r="A393" s="115" t="s">
        <v>1745</v>
      </c>
      <c r="B393" s="115" t="s">
        <v>1746</v>
      </c>
      <c r="C393" s="116">
        <v>42917</v>
      </c>
      <c r="D393" s="116">
        <v>42924</v>
      </c>
      <c r="E393" s="115" t="s">
        <v>1747</v>
      </c>
      <c r="G393" s="361" t="s">
        <v>1748</v>
      </c>
      <c r="H393" s="115" t="s">
        <v>1749</v>
      </c>
      <c r="I393" s="115" t="s">
        <v>18</v>
      </c>
      <c r="J393" s="115" t="s">
        <v>1023</v>
      </c>
      <c r="K393" s="115" t="s">
        <v>1770</v>
      </c>
      <c r="L393" s="115" t="s">
        <v>1750</v>
      </c>
      <c r="N393" s="128" t="s">
        <v>1751</v>
      </c>
      <c r="O393" s="1027">
        <v>1180</v>
      </c>
      <c r="Q393" s="115" t="s">
        <v>1752</v>
      </c>
      <c r="R393" s="682">
        <v>1</v>
      </c>
      <c r="S393" s="361"/>
      <c r="T393" s="361">
        <v>1</v>
      </c>
      <c r="U393" s="1737">
        <f>O393/4</f>
        <v>295</v>
      </c>
      <c r="V393" s="120"/>
      <c r="W393" s="115" t="s">
        <v>1651</v>
      </c>
      <c r="X393" s="115" t="s">
        <v>1217</v>
      </c>
      <c r="Y393" s="1486"/>
      <c r="Z393" s="1486"/>
    </row>
    <row r="394" spans="1:26" s="115" customFormat="1" ht="12" customHeight="1">
      <c r="A394" s="115" t="s">
        <v>775</v>
      </c>
      <c r="B394" s="115" t="s">
        <v>829</v>
      </c>
      <c r="C394" s="116">
        <v>42924</v>
      </c>
      <c r="D394" s="116">
        <v>42938</v>
      </c>
      <c r="E394" s="115" t="s">
        <v>773</v>
      </c>
      <c r="G394" s="361" t="s">
        <v>774</v>
      </c>
      <c r="H394" s="115" t="s">
        <v>772</v>
      </c>
      <c r="I394" s="115" t="s">
        <v>168</v>
      </c>
      <c r="J394" s="115" t="s">
        <v>180</v>
      </c>
      <c r="K394" s="115" t="s">
        <v>1578</v>
      </c>
      <c r="L394" s="115" t="s">
        <v>777</v>
      </c>
      <c r="N394" s="128" t="s">
        <v>1577</v>
      </c>
      <c r="O394" s="1027">
        <f>945*4</f>
        <v>3780</v>
      </c>
      <c r="Q394" s="115" t="s">
        <v>1579</v>
      </c>
      <c r="R394" s="682">
        <v>2</v>
      </c>
      <c r="S394" s="361">
        <v>5</v>
      </c>
      <c r="T394" s="361"/>
      <c r="U394" s="1737">
        <f>O394/4</f>
        <v>945</v>
      </c>
      <c r="V394" s="120" t="s">
        <v>1170</v>
      </c>
      <c r="Y394" s="1486"/>
      <c r="Z394" s="1486"/>
    </row>
    <row r="395" spans="1:26" s="115" customFormat="1" ht="12" customHeight="1">
      <c r="A395" s="115" t="s">
        <v>1669</v>
      </c>
      <c r="B395" s="115" t="s">
        <v>1670</v>
      </c>
      <c r="C395" s="116">
        <v>42938</v>
      </c>
      <c r="D395" s="116">
        <v>42945</v>
      </c>
      <c r="E395" s="115" t="s">
        <v>1671</v>
      </c>
      <c r="G395" s="361" t="s">
        <v>1672</v>
      </c>
      <c r="H395" s="115" t="s">
        <v>1673</v>
      </c>
      <c r="I395" s="115" t="s">
        <v>1674</v>
      </c>
      <c r="J395" s="115" t="s">
        <v>1023</v>
      </c>
      <c r="K395" s="115" t="s">
        <v>1675</v>
      </c>
      <c r="N395" s="128" t="s">
        <v>1676</v>
      </c>
      <c r="O395" s="1027">
        <v>1990</v>
      </c>
      <c r="Q395" s="115" t="s">
        <v>1677</v>
      </c>
      <c r="R395" s="682">
        <v>1</v>
      </c>
      <c r="S395" s="361">
        <v>3</v>
      </c>
      <c r="T395" s="361">
        <v>1</v>
      </c>
      <c r="U395" s="1737">
        <v>500</v>
      </c>
      <c r="V395" s="120">
        <v>42761</v>
      </c>
      <c r="W395" s="115" t="s">
        <v>1678</v>
      </c>
      <c r="X395" s="115" t="s">
        <v>1154</v>
      </c>
      <c r="Y395" s="1486"/>
      <c r="Z395" s="1486"/>
    </row>
    <row r="396" spans="1:26" s="115" customFormat="1" ht="12" customHeight="1">
      <c r="A396" s="115" t="s">
        <v>1689</v>
      </c>
      <c r="B396" s="115" t="s">
        <v>1688</v>
      </c>
      <c r="C396" s="116">
        <v>42945</v>
      </c>
      <c r="D396" s="116">
        <v>42952</v>
      </c>
      <c r="E396" s="115" t="s">
        <v>1693</v>
      </c>
      <c r="G396" s="361" t="s">
        <v>1695</v>
      </c>
      <c r="H396" s="115" t="s">
        <v>1694</v>
      </c>
      <c r="I396" s="115" t="s">
        <v>18</v>
      </c>
      <c r="J396" s="115" t="s">
        <v>51</v>
      </c>
      <c r="L396" s="115" t="s">
        <v>1691</v>
      </c>
      <c r="N396" s="128" t="s">
        <v>1690</v>
      </c>
      <c r="O396" s="1027">
        <f>1990+70</f>
        <v>2060</v>
      </c>
      <c r="Q396" s="115" t="s">
        <v>1692</v>
      </c>
      <c r="R396" s="682">
        <v>1</v>
      </c>
      <c r="S396" s="361">
        <v>2</v>
      </c>
      <c r="T396" s="361">
        <v>3</v>
      </c>
      <c r="U396" s="1737">
        <v>513.25</v>
      </c>
      <c r="V396" s="120">
        <v>42785</v>
      </c>
      <c r="W396" s="115" t="s">
        <v>1651</v>
      </c>
      <c r="X396" s="115" t="s">
        <v>1154</v>
      </c>
      <c r="Y396" s="1486"/>
      <c r="Z396" s="1486"/>
    </row>
    <row r="397" spans="1:26" s="115" customFormat="1" ht="12" customHeight="1">
      <c r="A397" s="115" t="s">
        <v>1706</v>
      </c>
      <c r="B397" s="115" t="s">
        <v>1707</v>
      </c>
      <c r="C397" s="116">
        <v>42952</v>
      </c>
      <c r="D397" s="116">
        <v>42966</v>
      </c>
      <c r="E397" s="115" t="s">
        <v>1708</v>
      </c>
      <c r="G397" s="361" t="s">
        <v>1709</v>
      </c>
      <c r="H397" s="115" t="s">
        <v>187</v>
      </c>
      <c r="I397" s="115" t="s">
        <v>18</v>
      </c>
      <c r="J397" s="115" t="s">
        <v>51</v>
      </c>
      <c r="K397" s="115" t="s">
        <v>1710</v>
      </c>
      <c r="L397" s="115" t="s">
        <v>1711</v>
      </c>
      <c r="N397" s="128" t="s">
        <v>1712</v>
      </c>
      <c r="O397" s="1027">
        <f>1990*2</f>
        <v>3980</v>
      </c>
      <c r="Q397" s="115" t="s">
        <v>1713</v>
      </c>
      <c r="R397" s="682">
        <v>2</v>
      </c>
      <c r="S397" s="361">
        <v>5</v>
      </c>
      <c r="T397" s="361">
        <v>1</v>
      </c>
      <c r="U397" s="1737">
        <f>1990/2</f>
        <v>995</v>
      </c>
      <c r="V397" s="120">
        <v>42799</v>
      </c>
      <c r="W397" s="115" t="s">
        <v>1651</v>
      </c>
      <c r="X397" s="115" t="s">
        <v>1154</v>
      </c>
      <c r="Y397" s="1486"/>
      <c r="Z397" s="1486"/>
    </row>
    <row r="398" spans="1:26" s="115" customFormat="1" ht="12" customHeight="1">
      <c r="A398" s="115" t="s">
        <v>1722</v>
      </c>
      <c r="B398" s="115" t="s">
        <v>1723</v>
      </c>
      <c r="C398" s="116">
        <v>42966</v>
      </c>
      <c r="D398" s="116">
        <v>42973</v>
      </c>
      <c r="E398" s="115" t="s">
        <v>1724</v>
      </c>
      <c r="G398" s="361">
        <v>27220</v>
      </c>
      <c r="H398" s="115" t="s">
        <v>1725</v>
      </c>
      <c r="I398" s="115" t="s">
        <v>23</v>
      </c>
      <c r="J398" s="115" t="s">
        <v>19</v>
      </c>
      <c r="L398" s="115" t="s">
        <v>1726</v>
      </c>
      <c r="N398" s="128"/>
      <c r="O398" s="1027">
        <v>1790</v>
      </c>
      <c r="Q398" s="115" t="s">
        <v>1728</v>
      </c>
      <c r="R398" s="682">
        <v>1</v>
      </c>
      <c r="S398" s="361">
        <v>4</v>
      </c>
      <c r="T398" s="361">
        <v>1</v>
      </c>
      <c r="U398" s="1737">
        <v>447.5</v>
      </c>
      <c r="V398" s="120"/>
      <c r="Y398" s="1486"/>
      <c r="Z398" s="1486"/>
    </row>
    <row r="399" spans="1:26" s="115" customFormat="1" ht="12" customHeight="1">
      <c r="A399" s="115" t="s">
        <v>1753</v>
      </c>
      <c r="B399" s="115" t="s">
        <v>297</v>
      </c>
      <c r="C399" s="116">
        <v>42973</v>
      </c>
      <c r="D399" s="116">
        <v>42980</v>
      </c>
      <c r="E399" s="115" t="s">
        <v>1754</v>
      </c>
      <c r="G399" s="361" t="s">
        <v>1755</v>
      </c>
      <c r="H399" s="115" t="s">
        <v>1756</v>
      </c>
      <c r="I399" s="115" t="s">
        <v>884</v>
      </c>
      <c r="J399" s="115" t="s">
        <v>51</v>
      </c>
      <c r="L399" s="115" t="s">
        <v>1757</v>
      </c>
      <c r="N399" s="128" t="s">
        <v>1758</v>
      </c>
      <c r="O399" s="1027">
        <f>1590 +70</f>
        <v>1660</v>
      </c>
      <c r="Q399" s="115" t="s">
        <v>1759</v>
      </c>
      <c r="R399" s="682">
        <v>1</v>
      </c>
      <c r="S399" s="361">
        <v>4</v>
      </c>
      <c r="T399" s="361">
        <v>0</v>
      </c>
      <c r="U399" s="1737">
        <v>397.5</v>
      </c>
      <c r="V399" s="120">
        <v>42862</v>
      </c>
      <c r="W399" s="115" t="s">
        <v>1760</v>
      </c>
      <c r="X399" s="115" t="s">
        <v>1154</v>
      </c>
      <c r="Y399" s="1486"/>
      <c r="Z399" s="1486"/>
    </row>
    <row r="400" spans="1:26" s="838" customFormat="1" ht="12" customHeight="1">
      <c r="A400" s="838" t="s">
        <v>1700</v>
      </c>
      <c r="B400" s="838" t="s">
        <v>1699</v>
      </c>
      <c r="C400" s="839">
        <v>42980</v>
      </c>
      <c r="D400" s="839">
        <v>42987</v>
      </c>
      <c r="E400" s="838" t="s">
        <v>1702</v>
      </c>
      <c r="G400" s="840" t="s">
        <v>1704</v>
      </c>
      <c r="H400" s="838" t="s">
        <v>1703</v>
      </c>
      <c r="I400" s="838" t="s">
        <v>18</v>
      </c>
      <c r="J400" s="838" t="s">
        <v>51</v>
      </c>
      <c r="L400" s="838" t="s">
        <v>1705</v>
      </c>
      <c r="N400" s="860" t="s">
        <v>1701</v>
      </c>
      <c r="O400" s="1029">
        <v>1390</v>
      </c>
      <c r="Q400" s="838" t="s">
        <v>1729</v>
      </c>
      <c r="R400" s="887">
        <v>1</v>
      </c>
      <c r="S400" s="840">
        <v>2</v>
      </c>
      <c r="T400" s="840">
        <v>3</v>
      </c>
      <c r="U400" s="1854">
        <v>347.5</v>
      </c>
      <c r="V400" s="844">
        <v>42795</v>
      </c>
      <c r="W400" s="838" t="s">
        <v>1651</v>
      </c>
      <c r="X400" s="838" t="s">
        <v>1154</v>
      </c>
      <c r="Y400" s="1494"/>
      <c r="Z400" s="1494"/>
    </row>
    <row r="401" spans="1:26" s="838" customFormat="1" ht="12" customHeight="1">
      <c r="A401" s="838" t="s">
        <v>1492</v>
      </c>
      <c r="B401" s="838" t="s">
        <v>264</v>
      </c>
      <c r="C401" s="839">
        <v>42980</v>
      </c>
      <c r="D401" s="839">
        <v>42994</v>
      </c>
      <c r="E401" s="838" t="s">
        <v>1491</v>
      </c>
      <c r="G401" s="840" t="s">
        <v>1493</v>
      </c>
      <c r="H401" s="838" t="s">
        <v>187</v>
      </c>
      <c r="I401" s="838" t="s">
        <v>18</v>
      </c>
      <c r="J401" s="838" t="s">
        <v>51</v>
      </c>
      <c r="K401" s="838" t="s">
        <v>1494</v>
      </c>
      <c r="L401" s="838" t="s">
        <v>1495</v>
      </c>
      <c r="N401" s="861" t="s">
        <v>1566</v>
      </c>
      <c r="O401" s="1034"/>
      <c r="Q401" s="842">
        <f>U401*4</f>
        <v>2580</v>
      </c>
      <c r="R401" s="887">
        <v>0</v>
      </c>
      <c r="S401" s="840" t="s">
        <v>1496</v>
      </c>
      <c r="T401" s="840">
        <v>2</v>
      </c>
      <c r="U401" s="1854">
        <v>645</v>
      </c>
      <c r="V401" s="844">
        <v>42346</v>
      </c>
      <c r="W401" s="838" t="s">
        <v>1477</v>
      </c>
      <c r="X401" s="838" t="s">
        <v>1154</v>
      </c>
      <c r="Y401" s="1494"/>
      <c r="Z401" s="1494"/>
    </row>
    <row r="402" spans="1:26" s="115" customFormat="1" ht="12" customHeight="1">
      <c r="A402" s="115" t="s">
        <v>1715</v>
      </c>
      <c r="B402" s="115" t="s">
        <v>1714</v>
      </c>
      <c r="C402" s="116">
        <v>42987</v>
      </c>
      <c r="D402" s="116">
        <v>42994</v>
      </c>
      <c r="E402" s="115" t="s">
        <v>1716</v>
      </c>
      <c r="G402" s="361" t="s">
        <v>1717</v>
      </c>
      <c r="H402" s="115" t="s">
        <v>1718</v>
      </c>
      <c r="I402" s="115" t="s">
        <v>18</v>
      </c>
      <c r="J402" s="115" t="s">
        <v>51</v>
      </c>
      <c r="K402" s="115" t="s">
        <v>1720</v>
      </c>
      <c r="N402" s="128" t="s">
        <v>1719</v>
      </c>
      <c r="O402" s="1027">
        <v>1190</v>
      </c>
      <c r="Q402" s="118"/>
      <c r="R402" s="682">
        <v>1</v>
      </c>
      <c r="S402" s="361" t="s">
        <v>1025</v>
      </c>
      <c r="T402" s="361">
        <v>1</v>
      </c>
      <c r="U402" s="1737">
        <v>298</v>
      </c>
      <c r="V402" s="120">
        <v>42800</v>
      </c>
      <c r="W402" s="115" t="s">
        <v>1651</v>
      </c>
      <c r="X402" s="115" t="s">
        <v>1154</v>
      </c>
      <c r="Y402" s="1486"/>
      <c r="Z402" s="1486"/>
    </row>
    <row r="403" spans="1:26" s="115" customFormat="1" ht="12" customHeight="1">
      <c r="A403" s="115" t="s">
        <v>1594</v>
      </c>
      <c r="B403" s="115" t="s">
        <v>1595</v>
      </c>
      <c r="C403" s="116">
        <v>42994</v>
      </c>
      <c r="D403" s="116">
        <v>43001</v>
      </c>
      <c r="G403" s="361"/>
      <c r="H403" s="115" t="s">
        <v>239</v>
      </c>
      <c r="I403" s="115" t="s">
        <v>18</v>
      </c>
      <c r="J403" s="115" t="s">
        <v>51</v>
      </c>
      <c r="L403" s="115" t="s">
        <v>1617</v>
      </c>
      <c r="N403" s="128"/>
      <c r="O403" s="1027">
        <v>700</v>
      </c>
      <c r="Q403" s="115" t="s">
        <v>1618</v>
      </c>
      <c r="R403" s="682">
        <v>1</v>
      </c>
      <c r="S403" s="361" t="s">
        <v>1401</v>
      </c>
      <c r="T403" s="361">
        <v>1</v>
      </c>
      <c r="U403" s="1737" t="s">
        <v>1721</v>
      </c>
      <c r="V403" s="120"/>
      <c r="Y403" s="1486"/>
      <c r="Z403" s="1486"/>
    </row>
    <row r="404" spans="1:26" s="115" customFormat="1" ht="12" customHeight="1">
      <c r="A404" s="115" t="s">
        <v>1771</v>
      </c>
      <c r="B404" s="115" t="s">
        <v>1772</v>
      </c>
      <c r="C404" s="116">
        <v>43002</v>
      </c>
      <c r="D404" s="116">
        <v>43008</v>
      </c>
      <c r="E404" s="115" t="s">
        <v>1773</v>
      </c>
      <c r="G404" s="361"/>
      <c r="H404" s="115" t="s">
        <v>1774</v>
      </c>
      <c r="I404" s="115" t="s">
        <v>1775</v>
      </c>
      <c r="J404" s="115" t="s">
        <v>51</v>
      </c>
      <c r="L404" s="115" t="s">
        <v>1776</v>
      </c>
      <c r="N404" s="128" t="s">
        <v>1777</v>
      </c>
      <c r="O404" s="1027">
        <v>990</v>
      </c>
      <c r="Q404" s="115" t="s">
        <v>1025</v>
      </c>
      <c r="R404" s="682">
        <v>1</v>
      </c>
      <c r="S404" s="361">
        <v>2</v>
      </c>
      <c r="T404" s="361">
        <v>1</v>
      </c>
      <c r="U404" s="1737">
        <v>250</v>
      </c>
      <c r="V404" s="120"/>
      <c r="W404" s="115" t="s">
        <v>1477</v>
      </c>
      <c r="Y404" s="1486"/>
      <c r="Z404" s="1486"/>
    </row>
    <row r="405" spans="1:26" s="115" customFormat="1" ht="12" customHeight="1">
      <c r="A405" s="115" t="s">
        <v>1778</v>
      </c>
      <c r="B405" s="115" t="s">
        <v>1779</v>
      </c>
      <c r="C405" s="116">
        <v>43008</v>
      </c>
      <c r="D405" s="116">
        <v>43022</v>
      </c>
      <c r="E405" s="115" t="s">
        <v>1780</v>
      </c>
      <c r="G405" s="361" t="s">
        <v>1781</v>
      </c>
      <c r="H405" s="115" t="s">
        <v>1782</v>
      </c>
      <c r="I405" s="115" t="s">
        <v>18</v>
      </c>
      <c r="J405" s="115" t="s">
        <v>51</v>
      </c>
      <c r="K405" s="115" t="s">
        <v>1784</v>
      </c>
      <c r="L405" s="115" t="s">
        <v>1783</v>
      </c>
      <c r="N405" s="128" t="s">
        <v>1785</v>
      </c>
      <c r="O405" s="1027">
        <v>1680</v>
      </c>
      <c r="Q405" s="115" t="s">
        <v>1786</v>
      </c>
      <c r="R405" s="682">
        <v>2</v>
      </c>
      <c r="S405" s="361">
        <v>2</v>
      </c>
      <c r="T405" s="361">
        <v>3</v>
      </c>
      <c r="U405" s="1737">
        <v>420</v>
      </c>
      <c r="V405" s="120"/>
      <c r="W405" s="115" t="s">
        <v>1760</v>
      </c>
      <c r="Y405" s="1486"/>
      <c r="Z405" s="1486"/>
    </row>
    <row r="406" spans="1:26" s="115" customFormat="1" ht="12" customHeight="1">
      <c r="A406" s="115" t="s">
        <v>1810</v>
      </c>
      <c r="B406" s="115" t="s">
        <v>396</v>
      </c>
      <c r="C406" s="116">
        <v>43022</v>
      </c>
      <c r="D406" s="116">
        <v>43029</v>
      </c>
      <c r="E406" s="115" t="s">
        <v>1765</v>
      </c>
      <c r="G406" s="361" t="s">
        <v>1766</v>
      </c>
      <c r="H406" s="115" t="s">
        <v>868</v>
      </c>
      <c r="I406" s="115" t="s">
        <v>18</v>
      </c>
      <c r="J406" s="115" t="s">
        <v>51</v>
      </c>
      <c r="L406" s="115" t="s">
        <v>1767</v>
      </c>
      <c r="N406" s="128"/>
      <c r="O406" s="1027">
        <f>690+80+70</f>
        <v>840</v>
      </c>
      <c r="Q406" s="115" t="s">
        <v>1768</v>
      </c>
      <c r="R406" s="682">
        <v>1</v>
      </c>
      <c r="S406" s="361">
        <v>5</v>
      </c>
      <c r="T406" s="361">
        <v>1</v>
      </c>
      <c r="U406" s="1737">
        <v>200</v>
      </c>
      <c r="V406" s="120">
        <v>42906</v>
      </c>
      <c r="W406" s="115" t="s">
        <v>1769</v>
      </c>
      <c r="X406" s="115" t="s">
        <v>1154</v>
      </c>
      <c r="Y406" s="1486"/>
      <c r="Z406" s="1486"/>
    </row>
    <row r="407" spans="1:26" s="115" customFormat="1" ht="12" customHeight="1">
      <c r="A407" s="115" t="s">
        <v>527</v>
      </c>
      <c r="B407" s="115" t="s">
        <v>693</v>
      </c>
      <c r="C407" s="116">
        <v>43096</v>
      </c>
      <c r="D407" s="116">
        <v>42745</v>
      </c>
      <c r="E407" s="115" t="s">
        <v>1787</v>
      </c>
      <c r="G407" s="361" t="s">
        <v>1788</v>
      </c>
      <c r="H407" s="115" t="s">
        <v>1789</v>
      </c>
      <c r="I407" s="115" t="s">
        <v>18</v>
      </c>
      <c r="J407" s="115" t="s">
        <v>51</v>
      </c>
      <c r="L407" s="115" t="s">
        <v>1790</v>
      </c>
      <c r="N407" s="128" t="s">
        <v>1791</v>
      </c>
      <c r="O407" s="1027">
        <f>1090*2+21*2</f>
        <v>2222</v>
      </c>
      <c r="Q407" s="115" t="s">
        <v>1025</v>
      </c>
      <c r="R407" s="682">
        <v>2</v>
      </c>
      <c r="S407" s="361">
        <v>2</v>
      </c>
      <c r="T407" s="361">
        <v>1</v>
      </c>
      <c r="U407" s="1737">
        <v>556</v>
      </c>
      <c r="V407" s="120"/>
      <c r="W407" s="115" t="s">
        <v>1769</v>
      </c>
      <c r="Y407" s="1486"/>
      <c r="Z407" s="1486"/>
    </row>
    <row r="408" spans="1:26" ht="12" customHeight="1">
      <c r="K408" s="15"/>
      <c r="L408" s="15"/>
      <c r="N408" s="49"/>
      <c r="O408" s="1014"/>
      <c r="U408" s="1860"/>
    </row>
    <row r="409" spans="1:26" ht="12" customHeight="1">
      <c r="H409" s="404"/>
      <c r="K409" s="15"/>
      <c r="L409" s="15"/>
      <c r="N409" s="49"/>
      <c r="O409" s="1014"/>
      <c r="Q409" s="8">
        <f>O394-U394</f>
        <v>2835</v>
      </c>
      <c r="U409" s="1860"/>
    </row>
    <row r="410" spans="1:26" ht="12" customHeight="1">
      <c r="H410" s="404"/>
      <c r="K410" s="15"/>
      <c r="L410" s="15"/>
      <c r="N410" s="49"/>
      <c r="O410" s="1014"/>
      <c r="U410" s="1860"/>
    </row>
    <row r="411" spans="1:26" ht="12" customHeight="1">
      <c r="H411" s="404"/>
      <c r="K411" s="15"/>
      <c r="L411" s="15"/>
      <c r="N411" s="49"/>
      <c r="O411" s="1014"/>
      <c r="U411" s="1860"/>
    </row>
    <row r="412" spans="1:26" ht="12" customHeight="1" thickBot="1">
      <c r="C412" s="8"/>
      <c r="D412" s="8"/>
      <c r="H412" s="404"/>
      <c r="V412" s="86">
        <f>U394/2</f>
        <v>472.5</v>
      </c>
    </row>
    <row r="413" spans="1:26" ht="12" customHeight="1" thickBot="1">
      <c r="A413" s="18" t="s">
        <v>1576</v>
      </c>
      <c r="B413" s="767">
        <f>SUM(O384:O413)</f>
        <v>36500.5</v>
      </c>
      <c r="C413" s="826">
        <f>B413/B371</f>
        <v>1.1179036643900759</v>
      </c>
      <c r="D413" s="791" t="s">
        <v>574</v>
      </c>
      <c r="E413" s="782"/>
      <c r="F413" s="7"/>
      <c r="G413" s="133"/>
      <c r="H413" s="49"/>
      <c r="I413" s="7"/>
      <c r="J413" s="7"/>
      <c r="K413" s="7"/>
      <c r="L413" s="7"/>
      <c r="M413" s="7"/>
      <c r="N413" s="7"/>
      <c r="O413" s="1012"/>
      <c r="P413" s="7"/>
      <c r="S413" s="133"/>
      <c r="T413" s="133"/>
      <c r="U413" s="1819"/>
    </row>
    <row r="414" spans="1:26" ht="12" customHeight="1" thickBot="1">
      <c r="A414" s="768" t="s">
        <v>463</v>
      </c>
      <c r="B414" s="827">
        <f>SUM(R384:R413)</f>
        <v>30</v>
      </c>
      <c r="C414" s="783">
        <f>B413/B414</f>
        <v>1216.6833333333334</v>
      </c>
      <c r="D414" s="17" t="s">
        <v>575</v>
      </c>
      <c r="E414" s="13"/>
      <c r="F414" s="7"/>
      <c r="G414" s="133"/>
      <c r="I414" s="7"/>
      <c r="J414" s="7"/>
      <c r="K414" s="7"/>
      <c r="L414" s="7">
        <f>(3*3*7+1990)-((3*3*7+1990)/4)</f>
        <v>1539.75</v>
      </c>
      <c r="M414" s="7"/>
      <c r="N414" s="7"/>
      <c r="O414" s="1012"/>
      <c r="P414" s="7"/>
      <c r="S414" s="133"/>
      <c r="T414" s="133"/>
      <c r="U414" s="1819"/>
    </row>
    <row r="415" spans="1:26" ht="12" customHeight="1" thickBot="1">
      <c r="A415" s="7"/>
      <c r="B415" s="7"/>
      <c r="C415" s="29"/>
      <c r="D415" s="17" t="s">
        <v>576</v>
      </c>
      <c r="E415" s="13"/>
      <c r="F415" s="7"/>
      <c r="G415" s="133"/>
      <c r="H415" s="404"/>
      <c r="I415" s="7"/>
      <c r="J415" s="7"/>
      <c r="L415" s="7"/>
      <c r="M415" s="7"/>
      <c r="N415" s="7"/>
      <c r="O415" s="1012">
        <f>O405-U405+3*14</f>
        <v>1302</v>
      </c>
      <c r="P415" s="7"/>
      <c r="S415" s="133"/>
      <c r="T415" s="133"/>
      <c r="U415" s="1819"/>
    </row>
    <row r="416" spans="1:26" ht="12" customHeight="1" thickBot="1">
      <c r="A416" s="18" t="s">
        <v>464</v>
      </c>
      <c r="B416" s="851">
        <f>537.56*12</f>
        <v>6450.7199999999993</v>
      </c>
      <c r="C416" s="29"/>
      <c r="D416" s="17" t="s">
        <v>1304</v>
      </c>
      <c r="E416" s="13"/>
      <c r="F416" s="7"/>
      <c r="G416" s="133"/>
      <c r="H416" s="404"/>
      <c r="I416" s="7"/>
      <c r="J416" s="7"/>
      <c r="L416" s="7"/>
      <c r="M416" s="7"/>
      <c r="N416" s="7"/>
      <c r="O416" s="1012"/>
      <c r="P416" s="7"/>
      <c r="S416" s="133"/>
      <c r="T416" s="133"/>
      <c r="U416" s="1819"/>
    </row>
    <row r="417" spans="1:26" ht="12" customHeight="1" thickBot="1">
      <c r="A417" s="852" t="s">
        <v>574</v>
      </c>
      <c r="B417" s="853">
        <f>E419</f>
        <v>6962.6399999999976</v>
      </c>
      <c r="C417" s="29"/>
      <c r="D417" s="17" t="s">
        <v>577</v>
      </c>
      <c r="E417" s="13"/>
      <c r="F417" s="7"/>
      <c r="G417" s="133"/>
      <c r="H417" s="404"/>
      <c r="I417" s="7"/>
      <c r="J417" s="7"/>
      <c r="L417" s="7"/>
      <c r="M417" s="7"/>
      <c r="N417" s="7"/>
      <c r="O417" s="1012"/>
      <c r="P417" s="7"/>
      <c r="S417" s="133"/>
      <c r="T417" s="133"/>
      <c r="U417" s="1819"/>
    </row>
    <row r="418" spans="1:26" ht="12" customHeight="1" thickBot="1">
      <c r="A418" s="510" t="s">
        <v>1534</v>
      </c>
      <c r="B418" s="854">
        <f>B413-B416-B417</f>
        <v>23087.14</v>
      </c>
      <c r="C418" s="29"/>
      <c r="D418" s="786" t="s">
        <v>578</v>
      </c>
      <c r="E418" s="541"/>
      <c r="F418" s="7"/>
      <c r="G418" s="133"/>
      <c r="H418" s="404"/>
      <c r="I418" s="7"/>
      <c r="J418" s="7"/>
      <c r="L418" s="773"/>
      <c r="M418" s="7"/>
      <c r="N418" s="7"/>
      <c r="O418" s="1012"/>
      <c r="P418" s="7"/>
      <c r="S418" s="133"/>
      <c r="T418" s="133"/>
      <c r="U418" s="1819"/>
    </row>
    <row r="419" spans="1:26" ht="12" customHeight="1" thickBot="1">
      <c r="A419" s="768" t="s">
        <v>466</v>
      </c>
      <c r="B419" s="800">
        <f>B418/12</f>
        <v>1923.9283333333333</v>
      </c>
      <c r="C419" s="29"/>
      <c r="D419" s="801" t="s">
        <v>585</v>
      </c>
      <c r="E419" s="855">
        <v>6962.6399999999976</v>
      </c>
      <c r="F419" s="7"/>
      <c r="G419" s="133"/>
      <c r="H419" s="7"/>
      <c r="I419" s="7"/>
      <c r="J419" s="7"/>
      <c r="L419" s="7"/>
      <c r="M419" s="7"/>
      <c r="N419" s="7"/>
      <c r="O419" s="1012"/>
      <c r="P419" s="7"/>
      <c r="S419" s="133"/>
      <c r="T419" s="133"/>
      <c r="U419" s="1819"/>
    </row>
    <row r="421" spans="1:26" ht="12" customHeight="1">
      <c r="A421" s="10"/>
      <c r="C421" s="34"/>
      <c r="D421" s="34"/>
      <c r="K421" s="15"/>
      <c r="N421" s="49"/>
      <c r="O421" s="1035"/>
      <c r="U421" s="1861"/>
    </row>
    <row r="422" spans="1:26" ht="12" customHeight="1">
      <c r="A422" s="10"/>
      <c r="C422" s="34"/>
      <c r="D422" s="34"/>
      <c r="K422" s="15"/>
      <c r="N422" s="49"/>
      <c r="O422" s="1035"/>
      <c r="U422" s="1861"/>
    </row>
    <row r="423" spans="1:26" s="856" customFormat="1" ht="12" customHeight="1">
      <c r="A423" s="9" t="s">
        <v>1762</v>
      </c>
      <c r="G423" s="857"/>
      <c r="O423" s="1032"/>
      <c r="R423" s="890"/>
      <c r="S423" s="857"/>
      <c r="T423" s="857"/>
      <c r="U423" s="1858"/>
      <c r="V423" s="1602"/>
      <c r="Y423" s="858"/>
      <c r="Z423" s="858"/>
    </row>
    <row r="424" spans="1:26" s="355" customFormat="1" ht="12" customHeight="1">
      <c r="A424" s="355" t="s">
        <v>1391</v>
      </c>
      <c r="B424" s="355" t="s">
        <v>1392</v>
      </c>
      <c r="C424" s="357">
        <v>43157</v>
      </c>
      <c r="D424" s="357">
        <v>43161</v>
      </c>
      <c r="G424" s="358"/>
      <c r="I424" s="355" t="s">
        <v>23</v>
      </c>
      <c r="J424" s="355" t="s">
        <v>19</v>
      </c>
      <c r="K424" s="355" t="s">
        <v>1393</v>
      </c>
      <c r="N424" s="365" t="s">
        <v>1394</v>
      </c>
      <c r="O424" s="1036">
        <v>600</v>
      </c>
      <c r="Q424" s="355" t="s">
        <v>1910</v>
      </c>
      <c r="R424" s="891">
        <v>1</v>
      </c>
      <c r="S424" s="358">
        <v>3</v>
      </c>
      <c r="T424" s="358">
        <v>0</v>
      </c>
      <c r="U424" s="1862">
        <v>0</v>
      </c>
      <c r="V424" s="360">
        <v>42024</v>
      </c>
      <c r="W424" s="355" t="s">
        <v>1281</v>
      </c>
      <c r="X424" s="355" t="s">
        <v>1217</v>
      </c>
      <c r="Y424" s="1487"/>
      <c r="Z424" s="1487"/>
    </row>
    <row r="425" spans="1:26" s="355" customFormat="1" ht="12" customHeight="1">
      <c r="A425" s="355" t="s">
        <v>1902</v>
      </c>
      <c r="B425" s="355" t="s">
        <v>1903</v>
      </c>
      <c r="C425" s="357">
        <v>43161</v>
      </c>
      <c r="D425" s="357">
        <v>43175</v>
      </c>
      <c r="E425" s="355" t="s">
        <v>1904</v>
      </c>
      <c r="G425" s="358"/>
      <c r="I425" s="355" t="s">
        <v>54</v>
      </c>
      <c r="J425" s="355" t="s">
        <v>19</v>
      </c>
      <c r="L425" s="355" t="s">
        <v>1905</v>
      </c>
      <c r="N425" s="365" t="s">
        <v>1906</v>
      </c>
      <c r="O425" s="1036">
        <v>1618</v>
      </c>
      <c r="Q425" s="355" t="s">
        <v>1907</v>
      </c>
      <c r="R425" s="891">
        <v>2</v>
      </c>
      <c r="S425" s="358">
        <v>2</v>
      </c>
      <c r="T425" s="358">
        <v>4</v>
      </c>
      <c r="U425" s="1862">
        <v>0</v>
      </c>
      <c r="V425" s="360">
        <v>43145</v>
      </c>
      <c r="X425" s="355" t="s">
        <v>1154</v>
      </c>
      <c r="Y425" s="1487"/>
      <c r="Z425" s="1487"/>
    </row>
    <row r="426" spans="1:26" s="115" customFormat="1" ht="12" customHeight="1">
      <c r="A426" s="115" t="s">
        <v>1824</v>
      </c>
      <c r="B426" s="115" t="s">
        <v>1823</v>
      </c>
      <c r="C426" s="116">
        <v>43183</v>
      </c>
      <c r="D426" s="116">
        <v>43197</v>
      </c>
      <c r="E426" s="115" t="s">
        <v>1822</v>
      </c>
      <c r="G426" s="361" t="s">
        <v>1826</v>
      </c>
      <c r="H426" s="115" t="s">
        <v>1825</v>
      </c>
      <c r="I426" s="115" t="s">
        <v>1827</v>
      </c>
      <c r="J426" s="115" t="s">
        <v>51</v>
      </c>
      <c r="K426" s="115" t="s">
        <v>1828</v>
      </c>
      <c r="N426" s="128" t="s">
        <v>1831</v>
      </c>
      <c r="O426" s="1027">
        <f>690*2</f>
        <v>1380</v>
      </c>
      <c r="Q426" s="115" t="s">
        <v>1829</v>
      </c>
      <c r="R426" s="682">
        <v>2</v>
      </c>
      <c r="S426" s="361" t="s">
        <v>1830</v>
      </c>
      <c r="T426" s="361">
        <v>1</v>
      </c>
      <c r="U426" s="1737">
        <v>500</v>
      </c>
      <c r="V426" s="120">
        <v>43046</v>
      </c>
      <c r="W426" s="115" t="s">
        <v>1833</v>
      </c>
      <c r="X426" s="115" t="s">
        <v>1154</v>
      </c>
      <c r="Y426" s="1486"/>
      <c r="Z426" s="1486"/>
    </row>
    <row r="427" spans="1:26" s="355" customFormat="1" ht="12" customHeight="1">
      <c r="A427" s="355" t="s">
        <v>486</v>
      </c>
      <c r="B427" s="355" t="s">
        <v>1620</v>
      </c>
      <c r="C427" s="357">
        <v>43204</v>
      </c>
      <c r="D427" s="357">
        <v>43211</v>
      </c>
      <c r="E427" s="355" t="s">
        <v>488</v>
      </c>
      <c r="G427" s="358">
        <v>95130</v>
      </c>
      <c r="H427" s="355" t="s">
        <v>489</v>
      </c>
      <c r="I427" s="355" t="s">
        <v>23</v>
      </c>
      <c r="J427" s="355" t="s">
        <v>19</v>
      </c>
      <c r="K427" s="355" t="s">
        <v>490</v>
      </c>
      <c r="L427" s="355" t="s">
        <v>491</v>
      </c>
      <c r="N427" s="365" t="s">
        <v>492</v>
      </c>
      <c r="O427" s="1036">
        <v>790</v>
      </c>
      <c r="R427" s="891">
        <v>1</v>
      </c>
      <c r="S427" s="358" t="s">
        <v>1809</v>
      </c>
      <c r="T427" s="358">
        <v>0</v>
      </c>
      <c r="U427" s="1862" t="s">
        <v>1832</v>
      </c>
      <c r="V427" s="360">
        <v>43033</v>
      </c>
      <c r="W427" s="355" t="s">
        <v>1519</v>
      </c>
      <c r="X427" s="355" t="s">
        <v>1154</v>
      </c>
      <c r="Y427" s="1487"/>
      <c r="Z427" s="1487"/>
    </row>
    <row r="428" spans="1:26" s="115" customFormat="1" ht="12" customHeight="1">
      <c r="A428" s="115" t="s">
        <v>1851</v>
      </c>
      <c r="B428" s="115" t="s">
        <v>1842</v>
      </c>
      <c r="C428" s="116">
        <v>43218</v>
      </c>
      <c r="D428" s="116">
        <v>43225</v>
      </c>
      <c r="E428" s="115" t="s">
        <v>1843</v>
      </c>
      <c r="G428" s="361" t="s">
        <v>1844</v>
      </c>
      <c r="H428" s="364" t="s">
        <v>1845</v>
      </c>
      <c r="I428" s="115" t="s">
        <v>18</v>
      </c>
      <c r="J428" s="115" t="s">
        <v>51</v>
      </c>
      <c r="K428" s="115" t="s">
        <v>1846</v>
      </c>
      <c r="L428" s="124" t="s">
        <v>1847</v>
      </c>
      <c r="N428" s="128" t="s">
        <v>1848</v>
      </c>
      <c r="O428" s="1027">
        <f>790+21+70</f>
        <v>881</v>
      </c>
      <c r="Q428" s="115" t="s">
        <v>1849</v>
      </c>
      <c r="R428" s="682">
        <v>1</v>
      </c>
      <c r="S428" s="361">
        <v>2</v>
      </c>
      <c r="T428" s="361">
        <v>1</v>
      </c>
      <c r="U428" s="1428">
        <v>200</v>
      </c>
      <c r="V428" s="120">
        <v>43050</v>
      </c>
      <c r="W428" s="115" t="s">
        <v>1850</v>
      </c>
      <c r="X428" s="115" t="s">
        <v>1154</v>
      </c>
      <c r="Y428" s="1486"/>
      <c r="Z428" s="1486"/>
    </row>
    <row r="429" spans="1:26" s="115" customFormat="1" ht="12" customHeight="1">
      <c r="A429" s="115" t="s">
        <v>1852</v>
      </c>
      <c r="B429" s="115" t="s">
        <v>511</v>
      </c>
      <c r="C429" s="116">
        <v>43232</v>
      </c>
      <c r="D429" s="116">
        <v>43239</v>
      </c>
      <c r="E429" s="115" t="s">
        <v>1853</v>
      </c>
      <c r="G429" s="361" t="s">
        <v>1854</v>
      </c>
      <c r="H429" s="364" t="s">
        <v>1855</v>
      </c>
      <c r="I429" s="115" t="s">
        <v>18</v>
      </c>
      <c r="J429" s="115" t="s">
        <v>51</v>
      </c>
      <c r="L429" s="124" t="s">
        <v>1856</v>
      </c>
      <c r="N429" s="128" t="s">
        <v>1857</v>
      </c>
      <c r="O429" s="1027">
        <f>890+42+70</f>
        <v>1002</v>
      </c>
      <c r="Q429" s="115" t="s">
        <v>1858</v>
      </c>
      <c r="R429" s="682">
        <v>1</v>
      </c>
      <c r="S429" s="361">
        <v>2</v>
      </c>
      <c r="T429" s="361">
        <v>2</v>
      </c>
      <c r="U429" s="1428">
        <v>222.5</v>
      </c>
      <c r="V429" s="120">
        <v>43060</v>
      </c>
      <c r="W429" s="115" t="s">
        <v>1769</v>
      </c>
      <c r="X429" s="115" t="s">
        <v>1154</v>
      </c>
      <c r="Y429" s="1486"/>
      <c r="Z429" s="1486"/>
    </row>
    <row r="430" spans="1:26" s="355" customFormat="1" ht="12" customHeight="1">
      <c r="A430" s="355" t="s">
        <v>1062</v>
      </c>
      <c r="B430" s="355" t="s">
        <v>1063</v>
      </c>
      <c r="C430" s="357">
        <v>43239</v>
      </c>
      <c r="D430" s="357">
        <v>43246</v>
      </c>
      <c r="E430" s="355" t="s">
        <v>1064</v>
      </c>
      <c r="G430" s="358" t="s">
        <v>1065</v>
      </c>
      <c r="H430" s="355" t="s">
        <v>54</v>
      </c>
      <c r="I430" s="355" t="s">
        <v>54</v>
      </c>
      <c r="J430" s="355" t="s">
        <v>19</v>
      </c>
      <c r="K430" s="355" t="s">
        <v>1067</v>
      </c>
      <c r="L430" s="355" t="s">
        <v>1066</v>
      </c>
      <c r="N430" s="362" t="s">
        <v>1068</v>
      </c>
      <c r="O430" s="1036">
        <v>990</v>
      </c>
      <c r="Q430" s="355" t="s">
        <v>1808</v>
      </c>
      <c r="R430" s="891">
        <v>1</v>
      </c>
      <c r="S430" s="358" t="s">
        <v>1518</v>
      </c>
      <c r="T430" s="358">
        <v>1</v>
      </c>
      <c r="U430" s="1862" t="s">
        <v>1832</v>
      </c>
      <c r="V430" s="360">
        <v>43041</v>
      </c>
      <c r="W430" s="355" t="s">
        <v>1519</v>
      </c>
      <c r="X430" s="355" t="s">
        <v>1154</v>
      </c>
      <c r="Y430" s="1487"/>
      <c r="Z430" s="1487"/>
    </row>
    <row r="431" spans="1:26" s="115" customFormat="1" ht="12" customHeight="1">
      <c r="A431" s="115" t="s">
        <v>1861</v>
      </c>
      <c r="B431" s="115" t="s">
        <v>1860</v>
      </c>
      <c r="C431" s="116">
        <v>43246</v>
      </c>
      <c r="D431" s="116">
        <v>43253</v>
      </c>
      <c r="E431" s="115" t="s">
        <v>1859</v>
      </c>
      <c r="G431" s="361" t="s">
        <v>1863</v>
      </c>
      <c r="H431" s="364" t="s">
        <v>1862</v>
      </c>
      <c r="I431" s="115" t="s">
        <v>18</v>
      </c>
      <c r="J431" s="115" t="s">
        <v>51</v>
      </c>
      <c r="K431" s="115" t="s">
        <v>1864</v>
      </c>
      <c r="L431" s="124"/>
      <c r="N431" s="128" t="s">
        <v>1865</v>
      </c>
      <c r="O431" s="1027">
        <f>1090+70+21</f>
        <v>1181</v>
      </c>
      <c r="Q431" s="115" t="s">
        <v>1922</v>
      </c>
      <c r="R431" s="682">
        <v>1</v>
      </c>
      <c r="S431" s="361" t="s">
        <v>1401</v>
      </c>
      <c r="T431" s="361">
        <v>3</v>
      </c>
      <c r="U431" s="1428">
        <v>272.5</v>
      </c>
      <c r="V431" s="120"/>
      <c r="W431" s="115" t="s">
        <v>1769</v>
      </c>
      <c r="X431" s="115" t="s">
        <v>1154</v>
      </c>
      <c r="Y431" s="1486"/>
      <c r="Z431" s="1486"/>
    </row>
    <row r="432" spans="1:26" s="115" customFormat="1" ht="12" customHeight="1">
      <c r="A432" s="115" t="s">
        <v>1792</v>
      </c>
      <c r="B432" s="115" t="s">
        <v>1793</v>
      </c>
      <c r="C432" s="116">
        <v>43253</v>
      </c>
      <c r="D432" s="116">
        <v>43274</v>
      </c>
      <c r="E432" s="115" t="s">
        <v>1794</v>
      </c>
      <c r="G432" s="361" t="s">
        <v>1795</v>
      </c>
      <c r="H432" s="115" t="s">
        <v>1796</v>
      </c>
      <c r="I432" s="115" t="s">
        <v>168</v>
      </c>
      <c r="J432" s="115" t="s">
        <v>51</v>
      </c>
      <c r="L432" s="115" t="s">
        <v>1797</v>
      </c>
      <c r="N432" s="128" t="s">
        <v>1798</v>
      </c>
      <c r="O432" s="1027">
        <f>1190*3</f>
        <v>3570</v>
      </c>
      <c r="Q432" s="115" t="s">
        <v>1933</v>
      </c>
      <c r="R432" s="682">
        <v>3</v>
      </c>
      <c r="S432" s="361">
        <v>4</v>
      </c>
      <c r="T432" s="361">
        <v>0</v>
      </c>
      <c r="U432" s="1737">
        <v>892.5</v>
      </c>
      <c r="V432" s="120">
        <v>42979</v>
      </c>
      <c r="X432" s="115" t="s">
        <v>1154</v>
      </c>
      <c r="Y432" s="1486"/>
      <c r="Z432" s="1486"/>
    </row>
    <row r="433" spans="1:26" s="115" customFormat="1" ht="12" customHeight="1">
      <c r="A433" s="115" t="s">
        <v>1799</v>
      </c>
      <c r="B433" s="115" t="s">
        <v>1800</v>
      </c>
      <c r="C433" s="116">
        <v>43274</v>
      </c>
      <c r="D433" s="116">
        <v>43288</v>
      </c>
      <c r="E433" s="115" t="s">
        <v>1801</v>
      </c>
      <c r="G433" s="361" t="s">
        <v>1802</v>
      </c>
      <c r="H433" s="115" t="s">
        <v>1803</v>
      </c>
      <c r="I433" s="115" t="s">
        <v>18</v>
      </c>
      <c r="J433" s="115" t="s">
        <v>51</v>
      </c>
      <c r="K433" s="115" t="s">
        <v>1805</v>
      </c>
      <c r="L433" s="115" t="s">
        <v>1804</v>
      </c>
      <c r="N433" s="363"/>
      <c r="O433" s="1027">
        <f>1290+1390</f>
        <v>2680</v>
      </c>
      <c r="Q433" s="115" t="s">
        <v>1807</v>
      </c>
      <c r="R433" s="682">
        <v>2</v>
      </c>
      <c r="S433" s="361">
        <v>4</v>
      </c>
      <c r="T433" s="361">
        <v>2</v>
      </c>
      <c r="U433" s="1737"/>
      <c r="V433" s="120">
        <v>42997</v>
      </c>
      <c r="W433" s="115" t="s">
        <v>1651</v>
      </c>
      <c r="X433" s="115" t="s">
        <v>1154</v>
      </c>
      <c r="Y433" s="1486"/>
      <c r="Z433" s="1486"/>
    </row>
    <row r="434" spans="1:26" s="355" customFormat="1" ht="12" customHeight="1">
      <c r="A434" s="355" t="s">
        <v>1884</v>
      </c>
      <c r="B434" s="355" t="s">
        <v>256</v>
      </c>
      <c r="C434" s="357">
        <v>43288</v>
      </c>
      <c r="D434" s="357">
        <v>43302</v>
      </c>
      <c r="E434" s="355" t="s">
        <v>1885</v>
      </c>
      <c r="G434" s="358" t="s">
        <v>1886</v>
      </c>
      <c r="H434" s="355" t="s">
        <v>1887</v>
      </c>
      <c r="I434" s="355" t="s">
        <v>168</v>
      </c>
      <c r="J434" s="355" t="s">
        <v>19</v>
      </c>
      <c r="K434" s="355" t="s">
        <v>1889</v>
      </c>
      <c r="L434" s="355" t="s">
        <v>1888</v>
      </c>
      <c r="N434" s="365" t="s">
        <v>1890</v>
      </c>
      <c r="O434" s="1036">
        <v>3380</v>
      </c>
      <c r="Q434" s="355" t="s">
        <v>1891</v>
      </c>
      <c r="R434" s="891">
        <v>2</v>
      </c>
      <c r="S434" s="358">
        <v>4</v>
      </c>
      <c r="T434" s="358">
        <v>2</v>
      </c>
      <c r="U434" s="1862" t="s">
        <v>1832</v>
      </c>
      <c r="V434" s="360">
        <v>43092</v>
      </c>
      <c r="W434" s="355" t="s">
        <v>1769</v>
      </c>
      <c r="X434" s="355" t="s">
        <v>1154</v>
      </c>
      <c r="Y434" s="1487"/>
      <c r="Z434" s="1487"/>
    </row>
    <row r="435" spans="1:26" s="355" customFormat="1" ht="12" customHeight="1">
      <c r="A435" s="355" t="s">
        <v>1556</v>
      </c>
      <c r="B435" s="355" t="s">
        <v>1557</v>
      </c>
      <c r="C435" s="357">
        <v>43302</v>
      </c>
      <c r="D435" s="357">
        <v>43309</v>
      </c>
      <c r="E435" s="355" t="s">
        <v>1558</v>
      </c>
      <c r="G435" s="358" t="s">
        <v>1559</v>
      </c>
      <c r="H435" s="355" t="s">
        <v>1560</v>
      </c>
      <c r="I435" s="355" t="s">
        <v>1561</v>
      </c>
      <c r="J435" s="355" t="s">
        <v>180</v>
      </c>
      <c r="L435" s="355" t="s">
        <v>1430</v>
      </c>
      <c r="N435" s="365" t="s">
        <v>1562</v>
      </c>
      <c r="O435" s="1036">
        <v>1990</v>
      </c>
      <c r="Q435" s="355" t="s">
        <v>1563</v>
      </c>
      <c r="R435" s="891">
        <v>1</v>
      </c>
      <c r="S435" s="358" t="s">
        <v>1564</v>
      </c>
      <c r="T435" s="358">
        <v>1</v>
      </c>
      <c r="U435" s="1862"/>
      <c r="V435" s="360">
        <v>43153</v>
      </c>
      <c r="W435" s="355" t="s">
        <v>1911</v>
      </c>
      <c r="X435" s="355" t="s">
        <v>1154</v>
      </c>
      <c r="Y435" s="1487"/>
      <c r="Z435" s="1487"/>
    </row>
    <row r="436" spans="1:26" s="355" customFormat="1" ht="12" customHeight="1">
      <c r="A436" s="355" t="s">
        <v>1892</v>
      </c>
      <c r="B436" s="355" t="s">
        <v>406</v>
      </c>
      <c r="C436" s="357">
        <v>43309</v>
      </c>
      <c r="D436" s="357">
        <v>43316</v>
      </c>
      <c r="E436" s="355" t="s">
        <v>1893</v>
      </c>
      <c r="G436" s="358" t="s">
        <v>1894</v>
      </c>
      <c r="H436" s="355" t="s">
        <v>1895</v>
      </c>
      <c r="I436" s="355" t="s">
        <v>18</v>
      </c>
      <c r="J436" s="355" t="s">
        <v>1023</v>
      </c>
      <c r="K436" s="355" t="s">
        <v>1896</v>
      </c>
      <c r="L436" s="355" t="s">
        <v>1897</v>
      </c>
      <c r="N436" s="365"/>
      <c r="O436" s="1036">
        <f>1990+63</f>
        <v>2053</v>
      </c>
      <c r="Q436" s="355" t="s">
        <v>1899</v>
      </c>
      <c r="R436" s="891">
        <v>1</v>
      </c>
      <c r="S436" s="358">
        <v>4</v>
      </c>
      <c r="T436" s="358">
        <v>3</v>
      </c>
      <c r="U436" s="1862" t="s">
        <v>1932</v>
      </c>
      <c r="V436" s="360"/>
      <c r="Y436" s="1487"/>
      <c r="Z436" s="1487"/>
    </row>
    <row r="437" spans="1:26" s="115" customFormat="1" ht="12" customHeight="1">
      <c r="A437" s="115" t="s">
        <v>681</v>
      </c>
      <c r="B437" s="115" t="s">
        <v>1874</v>
      </c>
      <c r="C437" s="116">
        <v>43316</v>
      </c>
      <c r="D437" s="116">
        <v>43323</v>
      </c>
      <c r="E437" s="115" t="s">
        <v>1875</v>
      </c>
      <c r="G437" s="361" t="s">
        <v>1876</v>
      </c>
      <c r="H437" s="115" t="s">
        <v>1774</v>
      </c>
      <c r="I437" s="115" t="s">
        <v>1775</v>
      </c>
      <c r="J437" s="115" t="s">
        <v>1023</v>
      </c>
      <c r="L437" s="115" t="s">
        <v>1877</v>
      </c>
      <c r="N437" s="128" t="s">
        <v>1878</v>
      </c>
      <c r="O437" s="1027">
        <v>1990</v>
      </c>
      <c r="Q437" s="115" t="s">
        <v>1879</v>
      </c>
      <c r="R437" s="682">
        <v>1</v>
      </c>
      <c r="S437" s="361">
        <v>4</v>
      </c>
      <c r="T437" s="361">
        <v>1</v>
      </c>
      <c r="U437" s="1737">
        <v>500</v>
      </c>
      <c r="V437" s="120"/>
      <c r="Y437" s="1486"/>
      <c r="Z437" s="1486"/>
    </row>
    <row r="438" spans="1:26" s="355" customFormat="1" ht="12" customHeight="1">
      <c r="A438" s="355" t="s">
        <v>1653</v>
      </c>
      <c r="B438" s="355" t="s">
        <v>264</v>
      </c>
      <c r="C438" s="357">
        <v>43323</v>
      </c>
      <c r="D438" s="357">
        <v>43337</v>
      </c>
      <c r="E438" s="355" t="s">
        <v>1654</v>
      </c>
      <c r="G438" s="358" t="s">
        <v>1655</v>
      </c>
      <c r="H438" s="355" t="s">
        <v>937</v>
      </c>
      <c r="I438" s="355" t="s">
        <v>18</v>
      </c>
      <c r="J438" s="355" t="s">
        <v>51</v>
      </c>
      <c r="K438" s="355" t="s">
        <v>1656</v>
      </c>
      <c r="L438" s="355" t="s">
        <v>1657</v>
      </c>
      <c r="N438" s="365" t="s">
        <v>1652</v>
      </c>
      <c r="O438" s="1036">
        <f xml:space="preserve"> 1990+1790+70</f>
        <v>3850</v>
      </c>
      <c r="R438" s="891">
        <v>2</v>
      </c>
      <c r="S438" s="358">
        <v>2</v>
      </c>
      <c r="T438" s="358">
        <v>1</v>
      </c>
      <c r="U438" s="1862" t="s">
        <v>1832</v>
      </c>
      <c r="V438" s="360">
        <v>42712</v>
      </c>
      <c r="W438" s="355" t="s">
        <v>1519</v>
      </c>
      <c r="X438" s="355" t="s">
        <v>1154</v>
      </c>
      <c r="Y438" s="1487"/>
      <c r="Z438" s="1487"/>
    </row>
    <row r="439" spans="1:26" s="115" customFormat="1" ht="12" customHeight="1">
      <c r="A439" s="115" t="s">
        <v>1022</v>
      </c>
      <c r="B439" s="115" t="s">
        <v>1815</v>
      </c>
      <c r="C439" s="116">
        <v>43344</v>
      </c>
      <c r="D439" s="116">
        <v>43358</v>
      </c>
      <c r="E439" s="115" t="s">
        <v>1816</v>
      </c>
      <c r="G439" s="361" t="s">
        <v>1817</v>
      </c>
      <c r="H439" s="364" t="s">
        <v>1818</v>
      </c>
      <c r="I439" s="115" t="s">
        <v>18</v>
      </c>
      <c r="J439" s="115" t="s">
        <v>51</v>
      </c>
      <c r="K439" s="124" t="s">
        <v>1819</v>
      </c>
      <c r="L439" s="124" t="s">
        <v>1820</v>
      </c>
      <c r="N439" s="128" t="s">
        <v>1020</v>
      </c>
      <c r="O439" s="1027">
        <f>1390+1190+70+2*14*3</f>
        <v>2734</v>
      </c>
      <c r="Q439" s="115" t="s">
        <v>1821</v>
      </c>
      <c r="R439" s="682">
        <v>2</v>
      </c>
      <c r="S439" s="361">
        <v>2</v>
      </c>
      <c r="T439" s="361">
        <v>2</v>
      </c>
      <c r="U439" s="1428">
        <v>663</v>
      </c>
      <c r="V439" s="120">
        <v>43041</v>
      </c>
      <c r="X439" s="115" t="s">
        <v>1154</v>
      </c>
      <c r="Y439" s="1486"/>
      <c r="Z439" s="1486"/>
    </row>
    <row r="440" spans="1:26" s="355" customFormat="1" ht="12" customHeight="1">
      <c r="A440" s="355" t="s">
        <v>1866</v>
      </c>
      <c r="B440" s="355" t="s">
        <v>1867</v>
      </c>
      <c r="C440" s="357">
        <v>43358</v>
      </c>
      <c r="D440" s="357">
        <v>43372</v>
      </c>
      <c r="E440" s="355" t="s">
        <v>1868</v>
      </c>
      <c r="G440" s="358" t="s">
        <v>1869</v>
      </c>
      <c r="H440" s="367" t="s">
        <v>1870</v>
      </c>
      <c r="I440" s="355" t="s">
        <v>18</v>
      </c>
      <c r="J440" s="355" t="s">
        <v>51</v>
      </c>
      <c r="K440" s="368"/>
      <c r="L440" s="368" t="s">
        <v>1871</v>
      </c>
      <c r="N440" s="365" t="s">
        <v>1872</v>
      </c>
      <c r="O440" s="1036">
        <f>1090+1190+70+42</f>
        <v>2392</v>
      </c>
      <c r="Q440" s="355" t="s">
        <v>1873</v>
      </c>
      <c r="R440" s="891">
        <v>2</v>
      </c>
      <c r="S440" s="358">
        <v>2</v>
      </c>
      <c r="T440" s="358">
        <v>1</v>
      </c>
      <c r="U440" s="1862" t="s">
        <v>1832</v>
      </c>
      <c r="V440" s="360">
        <v>43074</v>
      </c>
      <c r="W440" s="355" t="s">
        <v>1477</v>
      </c>
      <c r="X440" s="355" t="s">
        <v>1154</v>
      </c>
      <c r="Y440" s="1487"/>
      <c r="Z440" s="1487"/>
    </row>
    <row r="441" spans="1:26" s="355" customFormat="1" ht="12" customHeight="1">
      <c r="A441" s="355" t="s">
        <v>1961</v>
      </c>
      <c r="B441" s="355" t="s">
        <v>1962</v>
      </c>
      <c r="C441" s="357">
        <v>43372</v>
      </c>
      <c r="D441" s="357">
        <v>43379</v>
      </c>
      <c r="E441" s="355" t="s">
        <v>1963</v>
      </c>
      <c r="G441" s="358" t="s">
        <v>1964</v>
      </c>
      <c r="H441" s="367" t="s">
        <v>1965</v>
      </c>
      <c r="I441" s="355" t="s">
        <v>18</v>
      </c>
      <c r="J441" s="355" t="s">
        <v>1023</v>
      </c>
      <c r="K441" s="368"/>
      <c r="L441" s="368" t="s">
        <v>1966</v>
      </c>
      <c r="N441" s="365" t="s">
        <v>1967</v>
      </c>
      <c r="O441" s="1036">
        <f>890+21+70</f>
        <v>981</v>
      </c>
      <c r="Q441" s="355" t="s">
        <v>1968</v>
      </c>
      <c r="R441" s="891">
        <v>1</v>
      </c>
      <c r="S441" s="358">
        <v>2</v>
      </c>
      <c r="T441" s="358">
        <v>1</v>
      </c>
      <c r="U441" s="1862" t="s">
        <v>1832</v>
      </c>
      <c r="V441" s="360">
        <v>43354</v>
      </c>
      <c r="W441" s="355" t="s">
        <v>1477</v>
      </c>
      <c r="X441" s="355" t="s">
        <v>1154</v>
      </c>
      <c r="Y441" s="1487"/>
      <c r="Z441" s="1487"/>
    </row>
    <row r="442" spans="1:26" s="757" customFormat="1" ht="12" customHeight="1">
      <c r="A442" s="757" t="s">
        <v>1913</v>
      </c>
      <c r="B442" s="757" t="s">
        <v>304</v>
      </c>
      <c r="C442" s="758">
        <v>43372</v>
      </c>
      <c r="D442" s="758">
        <v>43379</v>
      </c>
      <c r="E442" s="757" t="s">
        <v>1919</v>
      </c>
      <c r="G442" s="759" t="s">
        <v>1914</v>
      </c>
      <c r="H442" s="896" t="s">
        <v>1918</v>
      </c>
      <c r="I442" s="757" t="s">
        <v>168</v>
      </c>
      <c r="J442" s="757" t="s">
        <v>19</v>
      </c>
      <c r="K442" s="760"/>
      <c r="L442" s="760" t="s">
        <v>1915</v>
      </c>
      <c r="N442" s="897" t="s">
        <v>1916</v>
      </c>
      <c r="O442" s="1037"/>
      <c r="Q442" s="757" t="s">
        <v>1917</v>
      </c>
      <c r="R442" s="898"/>
      <c r="S442" s="759">
        <v>2</v>
      </c>
      <c r="T442" s="759">
        <v>4</v>
      </c>
      <c r="U442" s="1863" t="s">
        <v>1832</v>
      </c>
      <c r="V442" s="763">
        <v>43168</v>
      </c>
      <c r="W442" s="757" t="s">
        <v>1052</v>
      </c>
      <c r="X442" s="757" t="s">
        <v>1154</v>
      </c>
      <c r="Y442" s="1491" t="s">
        <v>1921</v>
      </c>
      <c r="Z442" s="1491"/>
    </row>
    <row r="443" spans="1:26" s="383" customFormat="1" ht="12" customHeight="1">
      <c r="A443" s="383" t="s">
        <v>1834</v>
      </c>
      <c r="B443" s="383" t="s">
        <v>1835</v>
      </c>
      <c r="C443" s="384">
        <v>43386</v>
      </c>
      <c r="D443" s="384">
        <v>43393</v>
      </c>
      <c r="E443" s="383" t="s">
        <v>1836</v>
      </c>
      <c r="G443" s="385" t="s">
        <v>1837</v>
      </c>
      <c r="H443" s="386" t="s">
        <v>1838</v>
      </c>
      <c r="I443" s="383" t="s">
        <v>18</v>
      </c>
      <c r="J443" s="383" t="s">
        <v>51</v>
      </c>
      <c r="L443" s="387" t="s">
        <v>1839</v>
      </c>
      <c r="N443" s="863" t="s">
        <v>1840</v>
      </c>
      <c r="O443" s="1038"/>
      <c r="Q443" s="383" t="s">
        <v>1841</v>
      </c>
      <c r="R443" s="892"/>
      <c r="S443" s="385">
        <v>5</v>
      </c>
      <c r="T443" s="385">
        <v>2</v>
      </c>
      <c r="U443" s="1864"/>
      <c r="V443" s="391">
        <v>43046</v>
      </c>
      <c r="X443" s="383" t="s">
        <v>1154</v>
      </c>
      <c r="Y443" s="2158"/>
      <c r="Z443" s="2158"/>
    </row>
    <row r="444" spans="1:26" s="408" customFormat="1" ht="12" customHeight="1">
      <c r="A444" s="408" t="s">
        <v>1923</v>
      </c>
      <c r="B444" s="408" t="s">
        <v>1924</v>
      </c>
      <c r="C444" s="409">
        <v>43387</v>
      </c>
      <c r="D444" s="409">
        <v>43400</v>
      </c>
      <c r="E444" s="408" t="s">
        <v>1925</v>
      </c>
      <c r="G444" s="410" t="s">
        <v>1926</v>
      </c>
      <c r="H444" s="411" t="s">
        <v>1927</v>
      </c>
      <c r="I444" s="408" t="s">
        <v>18</v>
      </c>
      <c r="J444" s="408" t="s">
        <v>51</v>
      </c>
      <c r="K444" s="408" t="s">
        <v>1928</v>
      </c>
      <c r="L444" s="412" t="s">
        <v>1929</v>
      </c>
      <c r="N444" s="850" t="s">
        <v>1930</v>
      </c>
      <c r="O444" s="1031">
        <v>1380</v>
      </c>
      <c r="Q444" s="408" t="s">
        <v>1931</v>
      </c>
      <c r="R444" s="889">
        <v>2</v>
      </c>
      <c r="S444" s="410">
        <v>3</v>
      </c>
      <c r="T444" s="410">
        <v>3</v>
      </c>
      <c r="U444" s="1865" t="s">
        <v>1932</v>
      </c>
      <c r="V444" s="416">
        <v>43262</v>
      </c>
      <c r="W444" s="408" t="s">
        <v>1477</v>
      </c>
      <c r="X444" s="408" t="s">
        <v>1154</v>
      </c>
      <c r="Y444" s="1495" t="s">
        <v>1980</v>
      </c>
      <c r="Z444" s="1495"/>
    </row>
    <row r="445" spans="1:26" s="355" customFormat="1" ht="12" customHeight="1">
      <c r="A445" s="355" t="s">
        <v>486</v>
      </c>
      <c r="B445" s="355" t="s">
        <v>1620</v>
      </c>
      <c r="C445" s="357">
        <v>43407</v>
      </c>
      <c r="D445" s="357">
        <v>43414</v>
      </c>
      <c r="E445" s="355" t="s">
        <v>488</v>
      </c>
      <c r="G445" s="358">
        <v>95130</v>
      </c>
      <c r="H445" s="355" t="s">
        <v>489</v>
      </c>
      <c r="I445" s="355" t="s">
        <v>23</v>
      </c>
      <c r="J445" s="355" t="s">
        <v>19</v>
      </c>
      <c r="K445" s="355" t="s">
        <v>490</v>
      </c>
      <c r="L445" s="355" t="s">
        <v>491</v>
      </c>
      <c r="N445" s="365" t="s">
        <v>492</v>
      </c>
      <c r="O445" s="1036">
        <v>690</v>
      </c>
      <c r="R445" s="891">
        <v>1</v>
      </c>
      <c r="S445" s="358" t="s">
        <v>1809</v>
      </c>
      <c r="T445" s="358">
        <v>0</v>
      </c>
      <c r="U445" s="1862" t="s">
        <v>1832</v>
      </c>
      <c r="V445" s="360">
        <v>43033</v>
      </c>
      <c r="W445" s="355" t="s">
        <v>1519</v>
      </c>
      <c r="X445" s="355" t="s">
        <v>1154</v>
      </c>
      <c r="Y445" s="1487"/>
      <c r="Z445" s="1487"/>
    </row>
    <row r="446" spans="1:26" s="355" customFormat="1" ht="12" customHeight="1">
      <c r="A446" s="355" t="s">
        <v>527</v>
      </c>
      <c r="B446" s="355" t="s">
        <v>693</v>
      </c>
      <c r="C446" s="357">
        <v>43460</v>
      </c>
      <c r="D446" s="357">
        <v>43474</v>
      </c>
      <c r="E446" s="355" t="s">
        <v>1787</v>
      </c>
      <c r="G446" s="358" t="s">
        <v>1788</v>
      </c>
      <c r="H446" s="355" t="s">
        <v>1789</v>
      </c>
      <c r="I446" s="355" t="s">
        <v>18</v>
      </c>
      <c r="J446" s="355" t="s">
        <v>51</v>
      </c>
      <c r="L446" s="355" t="s">
        <v>1790</v>
      </c>
      <c r="N446" s="365" t="s">
        <v>1791</v>
      </c>
      <c r="O446" s="1036">
        <f>1090*2</f>
        <v>2180</v>
      </c>
      <c r="Q446" s="355" t="s">
        <v>1025</v>
      </c>
      <c r="R446" s="891">
        <v>2</v>
      </c>
      <c r="S446" s="358">
        <v>2</v>
      </c>
      <c r="T446" s="358">
        <v>1</v>
      </c>
      <c r="U446" s="1862" t="s">
        <v>1920</v>
      </c>
      <c r="V446" s="360">
        <v>43180</v>
      </c>
      <c r="W446" s="355" t="s">
        <v>1769</v>
      </c>
      <c r="X446" s="355" t="s">
        <v>1154</v>
      </c>
      <c r="Y446" s="1487"/>
      <c r="Z446" s="1487"/>
    </row>
    <row r="447" spans="1:26" ht="12" customHeight="1" thickBot="1">
      <c r="C447" s="8"/>
      <c r="D447" s="8"/>
      <c r="H447" s="404"/>
    </row>
    <row r="448" spans="1:26" ht="12" customHeight="1" thickBot="1">
      <c r="A448" s="18" t="s">
        <v>1763</v>
      </c>
      <c r="B448" s="767">
        <f>SUM(O424:O446)</f>
        <v>38312</v>
      </c>
      <c r="C448" s="826">
        <f>B448/B413</f>
        <v>1.0496294571307243</v>
      </c>
      <c r="D448" s="791" t="s">
        <v>574</v>
      </c>
      <c r="E448" s="782"/>
      <c r="F448" s="7"/>
      <c r="G448" s="133"/>
      <c r="H448" s="49"/>
      <c r="I448" s="7"/>
      <c r="J448" s="7"/>
      <c r="K448" s="7"/>
      <c r="L448" s="864"/>
      <c r="M448" s="7"/>
      <c r="N448" s="7"/>
      <c r="O448" s="1012"/>
      <c r="P448" s="7"/>
      <c r="S448" s="133"/>
      <c r="T448" s="133"/>
      <c r="U448" s="1819"/>
    </row>
    <row r="449" spans="1:26" ht="12" customHeight="1" thickBot="1">
      <c r="A449" s="768" t="s">
        <v>463</v>
      </c>
      <c r="B449" s="769">
        <f>SUM(R424:R447)</f>
        <v>32</v>
      </c>
      <c r="C449" s="783">
        <f>B448/B449</f>
        <v>1197.25</v>
      </c>
      <c r="D449" s="17" t="s">
        <v>575</v>
      </c>
      <c r="E449" s="13"/>
      <c r="F449" s="7"/>
      <c r="G449" s="133"/>
      <c r="I449" s="7"/>
      <c r="J449" s="7"/>
      <c r="K449" s="404"/>
      <c r="M449" s="7"/>
      <c r="O449" s="1012"/>
      <c r="P449" s="7"/>
      <c r="S449" s="133"/>
      <c r="T449" s="133"/>
      <c r="U449" s="1819"/>
    </row>
    <row r="450" spans="1:26" ht="12" customHeight="1" thickBot="1">
      <c r="A450" s="7"/>
      <c r="B450" s="7"/>
      <c r="C450" s="29"/>
      <c r="D450" s="17" t="s">
        <v>576</v>
      </c>
      <c r="E450" s="13"/>
      <c r="F450" s="7"/>
      <c r="G450" s="133"/>
      <c r="H450" s="404"/>
      <c r="I450" s="7"/>
      <c r="J450" s="7"/>
      <c r="K450" s="404"/>
      <c r="L450" s="495"/>
      <c r="M450" s="7"/>
      <c r="O450" s="1012"/>
      <c r="P450" s="7"/>
      <c r="S450" s="133"/>
      <c r="T450" s="133"/>
      <c r="U450" s="1819"/>
    </row>
    <row r="451" spans="1:26" ht="12" customHeight="1" thickBot="1">
      <c r="A451" s="18" t="s">
        <v>464</v>
      </c>
      <c r="B451" s="851">
        <f>537.56*2</f>
        <v>1075.1199999999999</v>
      </c>
      <c r="C451" s="29"/>
      <c r="D451" s="17" t="s">
        <v>1304</v>
      </c>
      <c r="E451" s="13"/>
      <c r="F451" s="7"/>
      <c r="G451" s="133"/>
      <c r="H451" s="404"/>
      <c r="I451" s="7"/>
      <c r="J451" s="7"/>
      <c r="K451" s="404"/>
      <c r="L451" s="404"/>
      <c r="M451" s="7"/>
      <c r="O451" s="1015">
        <f>O433-670</f>
        <v>2010</v>
      </c>
      <c r="P451" s="7"/>
      <c r="S451" s="133"/>
      <c r="T451" s="133"/>
      <c r="U451" s="1819"/>
    </row>
    <row r="452" spans="1:26" ht="12" customHeight="1" thickBot="1">
      <c r="A452" s="852" t="s">
        <v>574</v>
      </c>
      <c r="B452" s="853">
        <f>E454</f>
        <v>6962.6399999999976</v>
      </c>
      <c r="C452" s="29"/>
      <c r="D452" s="17" t="s">
        <v>577</v>
      </c>
      <c r="E452" s="13"/>
      <c r="F452" s="7"/>
      <c r="G452" s="133"/>
      <c r="H452" s="404"/>
      <c r="I452" s="7"/>
      <c r="J452" s="7"/>
      <c r="K452" s="49"/>
      <c r="L452" s="49"/>
      <c r="M452" s="7"/>
      <c r="N452" s="865"/>
      <c r="O452" s="1012"/>
      <c r="P452" s="7"/>
      <c r="S452" s="133"/>
      <c r="T452" s="133"/>
      <c r="U452" s="1819"/>
    </row>
    <row r="453" spans="1:26" ht="12" customHeight="1" thickBot="1">
      <c r="A453" s="510" t="s">
        <v>1534</v>
      </c>
      <c r="B453" s="854">
        <f>B448-B451-B452</f>
        <v>30274.239999999998</v>
      </c>
      <c r="C453" s="29"/>
      <c r="D453" s="786" t="s">
        <v>578</v>
      </c>
      <c r="E453" s="541"/>
      <c r="F453" s="7"/>
      <c r="G453" s="133"/>
      <c r="H453" s="404"/>
      <c r="I453" s="7"/>
      <c r="J453" s="7"/>
      <c r="M453" s="7"/>
      <c r="N453" s="7"/>
      <c r="O453" s="1012"/>
      <c r="P453" s="7"/>
      <c r="S453" s="133"/>
      <c r="T453" s="133"/>
      <c r="U453" s="1819"/>
    </row>
    <row r="454" spans="1:26" ht="12" customHeight="1" thickBot="1">
      <c r="A454" s="768" t="s">
        <v>466</v>
      </c>
      <c r="B454" s="800">
        <f>B453/12</f>
        <v>2522.853333333333</v>
      </c>
      <c r="C454" s="29"/>
      <c r="D454" s="801" t="s">
        <v>585</v>
      </c>
      <c r="E454" s="855">
        <v>6962.6399999999976</v>
      </c>
      <c r="F454" s="7"/>
      <c r="G454" s="133"/>
      <c r="H454" s="7"/>
      <c r="I454" s="7"/>
      <c r="J454" s="7"/>
      <c r="K454" s="404"/>
      <c r="L454" s="404"/>
      <c r="M454" s="7"/>
      <c r="N454" s="7"/>
      <c r="O454" s="1012"/>
      <c r="P454" s="7"/>
      <c r="S454" s="133"/>
      <c r="T454" s="133"/>
      <c r="U454" s="1819"/>
    </row>
    <row r="455" spans="1:26" ht="12" customHeight="1">
      <c r="K455" s="404"/>
      <c r="L455" s="404"/>
    </row>
    <row r="456" spans="1:26" ht="12" customHeight="1">
      <c r="A456" s="10"/>
      <c r="C456" s="34"/>
      <c r="D456" s="34"/>
      <c r="K456" s="404"/>
      <c r="L456" s="404"/>
      <c r="N456" s="49"/>
      <c r="O456" s="1035"/>
      <c r="U456" s="1861"/>
    </row>
    <row r="457" spans="1:26" ht="12" customHeight="1">
      <c r="A457" s="10"/>
      <c r="C457" s="34"/>
      <c r="D457" s="34"/>
      <c r="K457" s="404"/>
      <c r="L457" s="404"/>
      <c r="N457" s="462"/>
      <c r="O457" s="1035"/>
      <c r="U457" s="1861"/>
    </row>
    <row r="458" spans="1:26" s="856" customFormat="1" ht="12" customHeight="1">
      <c r="A458" s="9" t="s">
        <v>1936</v>
      </c>
      <c r="G458" s="857"/>
      <c r="O458" s="1032"/>
      <c r="R458" s="890"/>
      <c r="S458" s="857"/>
      <c r="T458" s="857"/>
      <c r="U458" s="1858"/>
      <c r="V458" s="1602"/>
      <c r="Y458" s="858"/>
      <c r="Z458" s="858"/>
    </row>
    <row r="459" spans="1:26" ht="12" customHeight="1">
      <c r="N459" s="49"/>
      <c r="O459" s="1014"/>
      <c r="U459" s="1845"/>
    </row>
    <row r="460" spans="1:26" s="115" customFormat="1" ht="12" customHeight="1">
      <c r="A460" s="115" t="s">
        <v>1997</v>
      </c>
      <c r="B460" s="115" t="s">
        <v>1998</v>
      </c>
      <c r="C460" s="116">
        <v>43484</v>
      </c>
      <c r="D460" s="116">
        <v>43498</v>
      </c>
      <c r="E460" s="115" t="s">
        <v>1999</v>
      </c>
      <c r="G460" s="361" t="s">
        <v>2000</v>
      </c>
      <c r="H460" s="115" t="s">
        <v>2001</v>
      </c>
      <c r="I460" s="115" t="s">
        <v>2002</v>
      </c>
      <c r="J460" s="115" t="s">
        <v>51</v>
      </c>
      <c r="L460" s="115" t="s">
        <v>2003</v>
      </c>
      <c r="N460" s="128" t="s">
        <v>2004</v>
      </c>
      <c r="O460" s="1027">
        <f>690*2+3*3*14+70</f>
        <v>1576</v>
      </c>
      <c r="Q460" s="115" t="s">
        <v>2005</v>
      </c>
      <c r="R460" s="682">
        <v>2</v>
      </c>
      <c r="S460" s="361">
        <v>2</v>
      </c>
      <c r="T460" s="361">
        <v>3</v>
      </c>
      <c r="U460" s="1737"/>
      <c r="V460" s="120" t="s">
        <v>1769</v>
      </c>
      <c r="Y460" s="1486"/>
      <c r="Z460" s="1486"/>
    </row>
    <row r="461" spans="1:26" ht="12" customHeight="1">
      <c r="N461" s="49"/>
      <c r="O461" s="1014"/>
      <c r="U461" s="1845"/>
    </row>
    <row r="462" spans="1:26" ht="12" customHeight="1">
      <c r="N462" s="49"/>
      <c r="O462" s="1014"/>
      <c r="U462" s="1845"/>
    </row>
    <row r="463" spans="1:26" s="355" customFormat="1" ht="12" customHeight="1">
      <c r="A463" s="355" t="s">
        <v>2008</v>
      </c>
      <c r="B463" s="355" t="s">
        <v>1588</v>
      </c>
      <c r="C463" s="357">
        <v>43561</v>
      </c>
      <c r="D463" s="357">
        <v>43575</v>
      </c>
      <c r="E463" s="355" t="s">
        <v>2009</v>
      </c>
      <c r="G463" s="358" t="s">
        <v>2010</v>
      </c>
      <c r="H463" s="367" t="s">
        <v>2011</v>
      </c>
      <c r="I463" s="355" t="s">
        <v>18</v>
      </c>
      <c r="J463" s="355" t="s">
        <v>1023</v>
      </c>
      <c r="L463" s="368" t="s">
        <v>2012</v>
      </c>
      <c r="N463" s="365" t="s">
        <v>2013</v>
      </c>
      <c r="O463" s="1036">
        <f>790*2</f>
        <v>1580</v>
      </c>
      <c r="Q463" s="355" t="s">
        <v>2014</v>
      </c>
      <c r="R463" s="891">
        <v>2</v>
      </c>
      <c r="S463" s="358">
        <v>5</v>
      </c>
      <c r="T463" s="358">
        <v>1</v>
      </c>
      <c r="U463" s="1866" t="s">
        <v>1154</v>
      </c>
      <c r="V463" s="360"/>
      <c r="Y463" s="1487"/>
      <c r="Z463" s="1487"/>
    </row>
    <row r="464" spans="1:26" s="115" customFormat="1" ht="12" customHeight="1">
      <c r="A464" s="115" t="s">
        <v>2279</v>
      </c>
      <c r="B464" s="115" t="s">
        <v>438</v>
      </c>
      <c r="C464" s="116">
        <v>43575</v>
      </c>
      <c r="D464" s="116">
        <v>43582</v>
      </c>
      <c r="E464" s="115" t="s">
        <v>2280</v>
      </c>
      <c r="G464" s="361" t="s">
        <v>2281</v>
      </c>
      <c r="H464" s="364" t="s">
        <v>2282</v>
      </c>
      <c r="I464" s="115" t="s">
        <v>168</v>
      </c>
      <c r="J464" s="115" t="s">
        <v>19</v>
      </c>
      <c r="L464" s="124" t="s">
        <v>2283</v>
      </c>
      <c r="N464" s="128" t="s">
        <v>2284</v>
      </c>
      <c r="O464" s="1027">
        <v>790</v>
      </c>
      <c r="Q464" s="115" t="s">
        <v>2285</v>
      </c>
      <c r="R464" s="682">
        <v>1</v>
      </c>
      <c r="S464" s="361">
        <v>4</v>
      </c>
      <c r="T464" s="361">
        <v>1</v>
      </c>
      <c r="U464" s="1428">
        <v>390</v>
      </c>
      <c r="V464" s="120"/>
      <c r="Y464" s="1486"/>
      <c r="Z464" s="1486"/>
    </row>
    <row r="465" spans="1:26" s="355" customFormat="1" ht="12" customHeight="1">
      <c r="A465" s="355" t="s">
        <v>527</v>
      </c>
      <c r="B465" s="355" t="s">
        <v>2223</v>
      </c>
      <c r="C465" s="357">
        <v>43582</v>
      </c>
      <c r="D465" s="357">
        <v>43596</v>
      </c>
      <c r="E465" s="355" t="s">
        <v>2224</v>
      </c>
      <c r="G465" s="358" t="s">
        <v>2225</v>
      </c>
      <c r="H465" s="367" t="s">
        <v>2226</v>
      </c>
      <c r="I465" s="355" t="s">
        <v>18</v>
      </c>
      <c r="J465" s="355" t="s">
        <v>1023</v>
      </c>
      <c r="L465" s="368" t="s">
        <v>2227</v>
      </c>
      <c r="N465" s="365" t="s">
        <v>2228</v>
      </c>
      <c r="O465" s="1036">
        <f xml:space="preserve"> 790+890</f>
        <v>1680</v>
      </c>
      <c r="Q465" s="355" t="s">
        <v>2229</v>
      </c>
      <c r="R465" s="891">
        <v>2</v>
      </c>
      <c r="S465" s="358">
        <v>2</v>
      </c>
      <c r="T465" s="358">
        <v>3</v>
      </c>
      <c r="U465" s="1862" t="s">
        <v>1832</v>
      </c>
      <c r="V465" s="360"/>
      <c r="Y465" s="1487"/>
      <c r="Z465" s="1487"/>
    </row>
    <row r="466" spans="1:26" s="355" customFormat="1" ht="12" customHeight="1">
      <c r="A466" s="355" t="s">
        <v>2271</v>
      </c>
      <c r="B466" s="355" t="s">
        <v>2286</v>
      </c>
      <c r="C466" s="357">
        <v>43596</v>
      </c>
      <c r="D466" s="357">
        <v>43603</v>
      </c>
      <c r="E466" s="355" t="s">
        <v>2272</v>
      </c>
      <c r="G466" s="358" t="s">
        <v>2273</v>
      </c>
      <c r="H466" s="367" t="s">
        <v>2274</v>
      </c>
      <c r="I466" s="355" t="s">
        <v>168</v>
      </c>
      <c r="J466" s="355" t="s">
        <v>1023</v>
      </c>
      <c r="K466" s="355" t="s">
        <v>2276</v>
      </c>
      <c r="L466" s="368" t="s">
        <v>2275</v>
      </c>
      <c r="N466" s="365" t="s">
        <v>2277</v>
      </c>
      <c r="O466" s="1036">
        <v>890</v>
      </c>
      <c r="Q466" s="355" t="s">
        <v>2278</v>
      </c>
      <c r="R466" s="891">
        <v>1</v>
      </c>
      <c r="S466" s="358">
        <v>3</v>
      </c>
      <c r="T466" s="358">
        <v>2</v>
      </c>
      <c r="U466" s="1867" t="s">
        <v>1832</v>
      </c>
      <c r="V466" s="360">
        <v>43561</v>
      </c>
      <c r="Y466" s="1487"/>
      <c r="Z466" s="1487"/>
    </row>
    <row r="467" spans="1:26" s="115" customFormat="1" ht="12" customHeight="1">
      <c r="A467" s="115" t="s">
        <v>2254</v>
      </c>
      <c r="B467" s="115" t="s">
        <v>2253</v>
      </c>
      <c r="C467" s="116">
        <v>43603</v>
      </c>
      <c r="D467" s="116">
        <v>43610</v>
      </c>
      <c r="E467" s="115" t="s">
        <v>2255</v>
      </c>
      <c r="G467" s="361" t="s">
        <v>2256</v>
      </c>
      <c r="H467" s="364" t="s">
        <v>2257</v>
      </c>
      <c r="I467" s="115" t="s">
        <v>18</v>
      </c>
      <c r="J467" s="115" t="s">
        <v>19</v>
      </c>
      <c r="L467" s="124" t="s">
        <v>2258</v>
      </c>
      <c r="N467" s="128" t="s">
        <v>2259</v>
      </c>
      <c r="O467" s="1027">
        <v>990</v>
      </c>
      <c r="Q467" s="115" t="s">
        <v>2260</v>
      </c>
      <c r="R467" s="682">
        <v>1</v>
      </c>
      <c r="S467" s="361">
        <v>4</v>
      </c>
      <c r="T467" s="361">
        <v>1</v>
      </c>
      <c r="U467" s="1428">
        <v>250</v>
      </c>
      <c r="V467" s="120">
        <v>43550</v>
      </c>
      <c r="W467" s="120" t="s">
        <v>1477</v>
      </c>
      <c r="Y467" s="1486"/>
      <c r="Z467" s="1486"/>
    </row>
    <row r="468" spans="1:26" s="451" customFormat="1" ht="12" customHeight="1">
      <c r="A468" s="451" t="s">
        <v>1982</v>
      </c>
      <c r="B468" s="451" t="s">
        <v>1983</v>
      </c>
      <c r="C468" s="452">
        <v>43231</v>
      </c>
      <c r="D468" s="452">
        <v>43245</v>
      </c>
      <c r="E468" s="451" t="s">
        <v>1984</v>
      </c>
      <c r="G468" s="453" t="s">
        <v>1985</v>
      </c>
      <c r="H468" s="474" t="s">
        <v>1986</v>
      </c>
      <c r="I468" s="451" t="s">
        <v>18</v>
      </c>
      <c r="J468" s="451" t="s">
        <v>51</v>
      </c>
      <c r="L468" s="475" t="s">
        <v>1987</v>
      </c>
      <c r="N468" s="866"/>
      <c r="O468" s="1039"/>
      <c r="Q468" s="451" t="s">
        <v>1988</v>
      </c>
      <c r="R468" s="893"/>
      <c r="S468" s="453">
        <v>4</v>
      </c>
      <c r="T468" s="453">
        <v>2</v>
      </c>
      <c r="U468" s="1868"/>
      <c r="V468" s="456" t="s">
        <v>1989</v>
      </c>
      <c r="Y468" s="2159"/>
      <c r="Z468" s="2159"/>
    </row>
    <row r="469" spans="1:26" s="355" customFormat="1" ht="12" customHeight="1">
      <c r="A469" s="355" t="s">
        <v>1062</v>
      </c>
      <c r="B469" s="355" t="s">
        <v>1063</v>
      </c>
      <c r="C469" s="357">
        <v>43610</v>
      </c>
      <c r="D469" s="357">
        <v>43617</v>
      </c>
      <c r="E469" s="355" t="s">
        <v>1064</v>
      </c>
      <c r="G469" s="358" t="s">
        <v>1065</v>
      </c>
      <c r="H469" s="355" t="s">
        <v>54</v>
      </c>
      <c r="I469" s="355" t="s">
        <v>54</v>
      </c>
      <c r="J469" s="355" t="s">
        <v>19</v>
      </c>
      <c r="K469" s="355" t="s">
        <v>1067</v>
      </c>
      <c r="L469" s="355" t="s">
        <v>1066</v>
      </c>
      <c r="N469" s="362" t="s">
        <v>1068</v>
      </c>
      <c r="O469" s="1036">
        <v>1090</v>
      </c>
      <c r="Q469" s="355" t="s">
        <v>1808</v>
      </c>
      <c r="R469" s="891">
        <v>1</v>
      </c>
      <c r="S469" s="358" t="s">
        <v>1518</v>
      </c>
      <c r="T469" s="358">
        <v>1</v>
      </c>
      <c r="U469" s="1862" t="s">
        <v>1832</v>
      </c>
      <c r="V469" s="360">
        <v>43041</v>
      </c>
      <c r="W469" s="355" t="s">
        <v>1519</v>
      </c>
      <c r="X469" s="355" t="s">
        <v>1154</v>
      </c>
      <c r="Y469" s="1487"/>
      <c r="Z469" s="1487"/>
    </row>
    <row r="470" spans="1:26" s="115" customFormat="1" ht="12" customHeight="1">
      <c r="A470" s="115" t="s">
        <v>1669</v>
      </c>
      <c r="B470" s="115" t="s">
        <v>2201</v>
      </c>
      <c r="C470" s="116">
        <v>43617</v>
      </c>
      <c r="D470" s="116">
        <v>43624</v>
      </c>
      <c r="E470" s="115" t="s">
        <v>2202</v>
      </c>
      <c r="G470" s="361" t="s">
        <v>2203</v>
      </c>
      <c r="H470" s="115" t="s">
        <v>2204</v>
      </c>
      <c r="I470" s="115" t="s">
        <v>18</v>
      </c>
      <c r="J470" s="115" t="s">
        <v>1023</v>
      </c>
      <c r="L470" s="115" t="s">
        <v>2205</v>
      </c>
      <c r="N470" s="363"/>
      <c r="O470" s="1027">
        <v>1090</v>
      </c>
      <c r="Q470" s="115" t="s">
        <v>600</v>
      </c>
      <c r="R470" s="682">
        <v>1</v>
      </c>
      <c r="S470" s="361">
        <v>3</v>
      </c>
      <c r="T470" s="361">
        <v>1</v>
      </c>
      <c r="U470" s="1428"/>
      <c r="V470" s="120">
        <v>43486</v>
      </c>
      <c r="W470" s="120" t="s">
        <v>2206</v>
      </c>
      <c r="X470" s="115" t="s">
        <v>1154</v>
      </c>
      <c r="Y470" s="1486"/>
      <c r="Z470" s="1486"/>
    </row>
    <row r="471" spans="1:26" s="355" customFormat="1" ht="12" customHeight="1">
      <c r="A471" s="355" t="s">
        <v>2026</v>
      </c>
      <c r="B471" s="355" t="s">
        <v>1953</v>
      </c>
      <c r="C471" s="357">
        <v>43624</v>
      </c>
      <c r="D471" s="357">
        <v>43638</v>
      </c>
      <c r="E471" s="355" t="s">
        <v>1954</v>
      </c>
      <c r="G471" s="358" t="s">
        <v>1955</v>
      </c>
      <c r="H471" s="355" t="s">
        <v>1956</v>
      </c>
      <c r="I471" s="355" t="s">
        <v>18</v>
      </c>
      <c r="J471" s="355" t="s">
        <v>1023</v>
      </c>
      <c r="K471" s="355" t="s">
        <v>1957</v>
      </c>
      <c r="L471" s="355" t="s">
        <v>1958</v>
      </c>
      <c r="N471" s="365"/>
      <c r="O471" s="1036">
        <f>1090+1190</f>
        <v>2280</v>
      </c>
      <c r="Q471" s="355" t="s">
        <v>599</v>
      </c>
      <c r="R471" s="891">
        <v>2</v>
      </c>
      <c r="S471" s="358">
        <v>2</v>
      </c>
      <c r="T471" s="358">
        <v>2</v>
      </c>
      <c r="U471" s="1866" t="s">
        <v>1960</v>
      </c>
      <c r="V471" s="360"/>
      <c r="Y471" s="1487"/>
      <c r="Z471" s="1487"/>
    </row>
    <row r="472" spans="1:26" s="355" customFormat="1" ht="12" customHeight="1">
      <c r="A472" s="355" t="s">
        <v>2232</v>
      </c>
      <c r="B472" s="355" t="s">
        <v>2233</v>
      </c>
      <c r="C472" s="357">
        <v>43638</v>
      </c>
      <c r="D472" s="357">
        <v>43645</v>
      </c>
      <c r="E472" s="355" t="s">
        <v>2234</v>
      </c>
      <c r="G472" s="358" t="s">
        <v>2235</v>
      </c>
      <c r="H472" s="355" t="s">
        <v>2236</v>
      </c>
      <c r="I472" s="355" t="s">
        <v>18</v>
      </c>
      <c r="J472" s="355" t="s">
        <v>1023</v>
      </c>
      <c r="L472" s="365" t="s">
        <v>2237</v>
      </c>
      <c r="N472" s="365" t="s">
        <v>2238</v>
      </c>
      <c r="O472" s="1036">
        <v>1290</v>
      </c>
      <c r="Q472" s="355">
        <v>1</v>
      </c>
      <c r="R472" s="891">
        <v>1</v>
      </c>
      <c r="S472" s="358">
        <v>2</v>
      </c>
      <c r="T472" s="358">
        <v>1</v>
      </c>
      <c r="U472" s="1866" t="s">
        <v>2239</v>
      </c>
      <c r="V472" s="360"/>
      <c r="Y472" s="1487"/>
      <c r="Z472" s="1487"/>
    </row>
    <row r="473" spans="1:26" s="115" customFormat="1" ht="12" customHeight="1">
      <c r="A473" s="115" t="s">
        <v>1937</v>
      </c>
      <c r="B473" s="115" t="s">
        <v>1938</v>
      </c>
      <c r="C473" s="116">
        <v>43645</v>
      </c>
      <c r="D473" s="116">
        <v>43659</v>
      </c>
      <c r="E473" s="115" t="s">
        <v>1939</v>
      </c>
      <c r="G473" s="361" t="s">
        <v>1940</v>
      </c>
      <c r="H473" s="115" t="s">
        <v>1941</v>
      </c>
      <c r="I473" s="364" t="s">
        <v>18</v>
      </c>
      <c r="J473" s="115" t="s">
        <v>51</v>
      </c>
      <c r="L473" s="115" t="s">
        <v>1942</v>
      </c>
      <c r="N473" s="128" t="s">
        <v>1943</v>
      </c>
      <c r="O473" s="1027">
        <f>1390+1590</f>
        <v>2980</v>
      </c>
      <c r="Q473" s="115" t="s">
        <v>599</v>
      </c>
      <c r="R473" s="682">
        <v>2</v>
      </c>
      <c r="S473" s="361" t="s">
        <v>1944</v>
      </c>
      <c r="T473" s="361">
        <v>2</v>
      </c>
      <c r="U473" s="1428" t="s">
        <v>2025</v>
      </c>
      <c r="V473" s="120"/>
      <c r="Y473" s="1486"/>
      <c r="Z473" s="1486"/>
    </row>
    <row r="474" spans="1:26" s="115" customFormat="1" ht="12" customHeight="1">
      <c r="A474" s="115" t="s">
        <v>1946</v>
      </c>
      <c r="B474" s="115" t="s">
        <v>1947</v>
      </c>
      <c r="C474" s="116">
        <v>43659</v>
      </c>
      <c r="D474" s="116">
        <v>43673</v>
      </c>
      <c r="E474" s="115" t="s">
        <v>1948</v>
      </c>
      <c r="G474" s="361" t="s">
        <v>1949</v>
      </c>
      <c r="H474" s="115" t="s">
        <v>1950</v>
      </c>
      <c r="I474" s="115" t="s">
        <v>18</v>
      </c>
      <c r="J474" s="115" t="s">
        <v>1023</v>
      </c>
      <c r="L474" s="115" t="s">
        <v>1951</v>
      </c>
      <c r="N474" s="128" t="s">
        <v>2425</v>
      </c>
      <c r="O474" s="1027">
        <v>3980</v>
      </c>
      <c r="Q474" s="115" t="s">
        <v>600</v>
      </c>
      <c r="R474" s="682">
        <v>2</v>
      </c>
      <c r="S474" s="361">
        <v>6</v>
      </c>
      <c r="T474" s="361">
        <v>1</v>
      </c>
      <c r="U474" s="1737">
        <v>995</v>
      </c>
      <c r="V474" s="120"/>
      <c r="Y474" s="1486"/>
      <c r="Z474" s="1486"/>
    </row>
    <row r="475" spans="1:26" s="115" customFormat="1" ht="12" customHeight="1">
      <c r="A475" s="115" t="s">
        <v>1973</v>
      </c>
      <c r="B475" s="115" t="s">
        <v>1972</v>
      </c>
      <c r="C475" s="116">
        <v>43673</v>
      </c>
      <c r="D475" s="116">
        <v>43694</v>
      </c>
      <c r="E475" s="115" t="s">
        <v>1975</v>
      </c>
      <c r="G475" s="361" t="s">
        <v>1976</v>
      </c>
      <c r="H475" s="115" t="s">
        <v>1977</v>
      </c>
      <c r="I475" s="115" t="s">
        <v>168</v>
      </c>
      <c r="J475" s="115" t="s">
        <v>1023</v>
      </c>
      <c r="L475" s="115" t="s">
        <v>1978</v>
      </c>
      <c r="N475" s="128" t="s">
        <v>1974</v>
      </c>
      <c r="O475" s="1027">
        <f>1990*3+750+250</f>
        <v>6970</v>
      </c>
      <c r="Q475" s="115" t="s">
        <v>2327</v>
      </c>
      <c r="R475" s="682">
        <v>3</v>
      </c>
      <c r="S475" s="361">
        <v>4</v>
      </c>
      <c r="T475" s="361">
        <v>2</v>
      </c>
      <c r="U475" s="1737" t="s">
        <v>2027</v>
      </c>
      <c r="V475" s="120"/>
      <c r="Y475" s="1486"/>
      <c r="Z475" s="1486"/>
    </row>
    <row r="476" spans="1:26" s="115" customFormat="1" ht="12" customHeight="1">
      <c r="A476" s="115" t="s">
        <v>2265</v>
      </c>
      <c r="B476" s="115" t="s">
        <v>2264</v>
      </c>
      <c r="C476" s="116">
        <v>43694</v>
      </c>
      <c r="D476" s="116">
        <v>43708</v>
      </c>
      <c r="E476" s="115" t="s">
        <v>2266</v>
      </c>
      <c r="G476" s="361" t="s">
        <v>2267</v>
      </c>
      <c r="H476" s="115" t="s">
        <v>2268</v>
      </c>
      <c r="I476" s="115" t="s">
        <v>54</v>
      </c>
      <c r="J476" s="115" t="s">
        <v>19</v>
      </c>
      <c r="L476" s="115" t="s">
        <v>2269</v>
      </c>
      <c r="N476" s="128" t="s">
        <v>2270</v>
      </c>
      <c r="O476" s="1027">
        <v>3680</v>
      </c>
      <c r="Q476" s="115" t="s">
        <v>599</v>
      </c>
      <c r="R476" s="682">
        <v>2</v>
      </c>
      <c r="S476" s="361">
        <v>3</v>
      </c>
      <c r="T476" s="361">
        <v>2</v>
      </c>
      <c r="U476" s="1737">
        <v>920</v>
      </c>
      <c r="V476" s="120">
        <v>43559</v>
      </c>
      <c r="W476" s="115" t="s">
        <v>1477</v>
      </c>
      <c r="Y476" s="1486"/>
      <c r="Z476" s="1486"/>
    </row>
    <row r="477" spans="1:26" s="355" customFormat="1" ht="12" customHeight="1">
      <c r="A477" s="355" t="s">
        <v>2355</v>
      </c>
      <c r="B477" s="355" t="s">
        <v>2356</v>
      </c>
      <c r="C477" s="357">
        <v>43708</v>
      </c>
      <c r="D477" s="357">
        <v>43715</v>
      </c>
      <c r="E477" s="355" t="s">
        <v>2357</v>
      </c>
      <c r="G477" s="358" t="s">
        <v>2358</v>
      </c>
      <c r="H477" s="355" t="s">
        <v>2359</v>
      </c>
      <c r="I477" s="355" t="s">
        <v>18</v>
      </c>
      <c r="J477" s="355" t="s">
        <v>1023</v>
      </c>
      <c r="L477" s="355" t="s">
        <v>2360</v>
      </c>
      <c r="N477" s="365" t="s">
        <v>2361</v>
      </c>
      <c r="O477" s="1036">
        <f>1100+70+63</f>
        <v>1233</v>
      </c>
      <c r="Q477" s="355" t="s">
        <v>2362</v>
      </c>
      <c r="R477" s="891">
        <v>1</v>
      </c>
      <c r="S477" s="358">
        <v>2</v>
      </c>
      <c r="T477" s="358">
        <v>3</v>
      </c>
      <c r="U477" s="1862" t="s">
        <v>1154</v>
      </c>
      <c r="V477" s="360">
        <v>43703</v>
      </c>
      <c r="W477" s="355" t="s">
        <v>1477</v>
      </c>
      <c r="Y477" s="1487"/>
      <c r="Z477" s="1487"/>
    </row>
    <row r="478" spans="1:26" s="115" customFormat="1" ht="12" customHeight="1">
      <c r="A478" s="115" t="s">
        <v>2016</v>
      </c>
      <c r="B478" s="115" t="s">
        <v>2017</v>
      </c>
      <c r="C478" s="116">
        <v>43715</v>
      </c>
      <c r="D478" s="116">
        <v>43729</v>
      </c>
      <c r="E478" s="115" t="s">
        <v>2018</v>
      </c>
      <c r="G478" s="361" t="s">
        <v>2019</v>
      </c>
      <c r="H478" s="115" t="s">
        <v>2020</v>
      </c>
      <c r="I478" s="115" t="s">
        <v>18</v>
      </c>
      <c r="J478" s="115" t="s">
        <v>1023</v>
      </c>
      <c r="L478" s="115" t="s">
        <v>2021</v>
      </c>
      <c r="N478" s="128" t="s">
        <v>2022</v>
      </c>
      <c r="O478" s="1027">
        <f>1290+1390</f>
        <v>2680</v>
      </c>
      <c r="Q478" s="115" t="s">
        <v>2023</v>
      </c>
      <c r="R478" s="682">
        <v>2</v>
      </c>
      <c r="S478" s="361">
        <v>2</v>
      </c>
      <c r="T478" s="361">
        <v>2</v>
      </c>
      <c r="U478" s="1737" t="s">
        <v>2024</v>
      </c>
      <c r="V478" s="120">
        <v>43410</v>
      </c>
      <c r="Y478" s="1486"/>
      <c r="Z478" s="1486"/>
    </row>
    <row r="479" spans="1:26" s="355" customFormat="1" ht="12" customHeight="1">
      <c r="A479" s="867" t="s">
        <v>2332</v>
      </c>
      <c r="B479" s="355" t="s">
        <v>2333</v>
      </c>
      <c r="C479" s="357">
        <v>43729</v>
      </c>
      <c r="D479" s="357">
        <v>43736</v>
      </c>
      <c r="E479" s="355" t="s">
        <v>2334</v>
      </c>
      <c r="G479" s="358" t="s">
        <v>2335</v>
      </c>
      <c r="H479" s="355" t="s">
        <v>2336</v>
      </c>
      <c r="I479" s="355" t="s">
        <v>18</v>
      </c>
      <c r="J479" s="355" t="s">
        <v>51</v>
      </c>
      <c r="K479" s="355" t="s">
        <v>2338</v>
      </c>
      <c r="L479" s="355" t="s">
        <v>2337</v>
      </c>
      <c r="N479" s="365" t="s">
        <v>2331</v>
      </c>
      <c r="O479" s="1036">
        <v>1190</v>
      </c>
      <c r="Q479" s="355" t="s">
        <v>2023</v>
      </c>
      <c r="R479" s="891">
        <v>1</v>
      </c>
      <c r="S479" s="358">
        <v>2</v>
      </c>
      <c r="T479" s="358">
        <v>2</v>
      </c>
      <c r="U479" s="1862" t="s">
        <v>2339</v>
      </c>
      <c r="V479" s="360">
        <v>43702</v>
      </c>
      <c r="W479" s="355" t="s">
        <v>1477</v>
      </c>
      <c r="Y479" s="1487"/>
      <c r="Z479" s="1487"/>
    </row>
    <row r="480" spans="1:26" s="498" customFormat="1" ht="12" customHeight="1">
      <c r="A480" s="498" t="s">
        <v>2179</v>
      </c>
      <c r="B480" s="498" t="s">
        <v>2180</v>
      </c>
      <c r="C480" s="499">
        <v>43736</v>
      </c>
      <c r="D480" s="499">
        <v>43743</v>
      </c>
      <c r="E480" s="498" t="s">
        <v>2181</v>
      </c>
      <c r="G480" s="500" t="s">
        <v>1992</v>
      </c>
      <c r="I480" s="498" t="s">
        <v>18</v>
      </c>
      <c r="J480" s="498" t="s">
        <v>1023</v>
      </c>
      <c r="L480" s="498" t="s">
        <v>2182</v>
      </c>
      <c r="N480" s="868" t="s">
        <v>2183</v>
      </c>
      <c r="O480" s="1040">
        <f>990+42</f>
        <v>1032</v>
      </c>
      <c r="Q480" s="498" t="s">
        <v>2372</v>
      </c>
      <c r="R480" s="894">
        <v>1</v>
      </c>
      <c r="S480" s="500">
        <v>2</v>
      </c>
      <c r="T480" s="500">
        <v>2</v>
      </c>
      <c r="U480" s="1869" t="s">
        <v>2354</v>
      </c>
      <c r="V480" s="504">
        <v>43461</v>
      </c>
      <c r="Y480" s="1490"/>
      <c r="Z480" s="1490"/>
    </row>
    <row r="481" spans="1:26" s="115" customFormat="1" ht="12" customHeight="1">
      <c r="A481" s="115" t="s">
        <v>2215</v>
      </c>
      <c r="B481" s="115" t="s">
        <v>2216</v>
      </c>
      <c r="C481" s="116">
        <v>43743</v>
      </c>
      <c r="D481" s="116">
        <v>43750</v>
      </c>
      <c r="E481" s="115" t="s">
        <v>2217</v>
      </c>
      <c r="G481" s="361" t="s">
        <v>2218</v>
      </c>
      <c r="H481" s="115" t="s">
        <v>2219</v>
      </c>
      <c r="I481" s="115" t="s">
        <v>18</v>
      </c>
      <c r="J481" s="115" t="s">
        <v>51</v>
      </c>
      <c r="L481" s="115" t="s">
        <v>2220</v>
      </c>
      <c r="N481" s="128" t="s">
        <v>2221</v>
      </c>
      <c r="O481" s="1027">
        <v>890</v>
      </c>
      <c r="Q481" s="115" t="s">
        <v>2222</v>
      </c>
      <c r="R481" s="682">
        <v>1</v>
      </c>
      <c r="S481" s="361">
        <v>6</v>
      </c>
      <c r="T481" s="361">
        <v>2</v>
      </c>
      <c r="U481" s="1737"/>
      <c r="V481" s="120"/>
      <c r="Y481" s="1486"/>
      <c r="Z481" s="1486"/>
    </row>
    <row r="482" spans="1:26" s="115" customFormat="1" ht="12" customHeight="1">
      <c r="A482" s="115" t="s">
        <v>1996</v>
      </c>
      <c r="B482" s="115" t="s">
        <v>1990</v>
      </c>
      <c r="C482" s="116">
        <v>43757</v>
      </c>
      <c r="D482" s="116">
        <v>43764</v>
      </c>
      <c r="E482" s="115" t="s">
        <v>1991</v>
      </c>
      <c r="G482" s="361" t="s">
        <v>1992</v>
      </c>
      <c r="H482" s="115" t="s">
        <v>1993</v>
      </c>
      <c r="I482" s="115" t="s">
        <v>18</v>
      </c>
      <c r="J482" s="115" t="s">
        <v>51</v>
      </c>
      <c r="L482" s="115" t="s">
        <v>1994</v>
      </c>
      <c r="N482" s="128" t="s">
        <v>1995</v>
      </c>
      <c r="O482" s="1027">
        <v>690</v>
      </c>
      <c r="Q482" s="115" t="s">
        <v>1500</v>
      </c>
      <c r="R482" s="682">
        <v>1</v>
      </c>
      <c r="S482" s="361">
        <v>2</v>
      </c>
      <c r="T482" s="361">
        <v>1</v>
      </c>
      <c r="U482" s="1737">
        <v>172.5</v>
      </c>
      <c r="V482" s="120" t="s">
        <v>2318</v>
      </c>
      <c r="Y482" s="1486"/>
      <c r="Z482" s="1486"/>
    </row>
    <row r="483" spans="1:26" s="355" customFormat="1" ht="12" customHeight="1">
      <c r="A483" s="355" t="s">
        <v>486</v>
      </c>
      <c r="B483" s="355" t="s">
        <v>1620</v>
      </c>
      <c r="C483" s="357">
        <v>43764</v>
      </c>
      <c r="D483" s="357">
        <v>43771</v>
      </c>
      <c r="E483" s="355" t="s">
        <v>488</v>
      </c>
      <c r="G483" s="358">
        <v>95130</v>
      </c>
      <c r="H483" s="355" t="s">
        <v>489</v>
      </c>
      <c r="I483" s="355" t="s">
        <v>23</v>
      </c>
      <c r="J483" s="355" t="s">
        <v>19</v>
      </c>
      <c r="K483" s="355" t="s">
        <v>490</v>
      </c>
      <c r="L483" s="355" t="s">
        <v>491</v>
      </c>
      <c r="N483" s="365" t="s">
        <v>492</v>
      </c>
      <c r="O483" s="1036">
        <v>690</v>
      </c>
      <c r="Q483" s="355" t="s">
        <v>2345</v>
      </c>
      <c r="R483" s="891">
        <v>1</v>
      </c>
      <c r="S483" s="358" t="s">
        <v>1809</v>
      </c>
      <c r="T483" s="358">
        <v>0</v>
      </c>
      <c r="U483" s="1862" t="s">
        <v>1832</v>
      </c>
      <c r="V483" s="360">
        <v>43033</v>
      </c>
      <c r="W483" s="355" t="s">
        <v>1519</v>
      </c>
      <c r="X483" s="355" t="s">
        <v>1154</v>
      </c>
      <c r="Y483" s="1487"/>
      <c r="Z483" s="1487"/>
    </row>
    <row r="484" spans="1:26" s="451" customFormat="1" ht="12" customHeight="1">
      <c r="A484" s="451" t="s">
        <v>2192</v>
      </c>
      <c r="B484" s="451" t="s">
        <v>2193</v>
      </c>
      <c r="C484" s="452">
        <v>43820</v>
      </c>
      <c r="D484" s="452">
        <v>43831</v>
      </c>
      <c r="E484" s="451" t="s">
        <v>2194</v>
      </c>
      <c r="G484" s="453" t="s">
        <v>2195</v>
      </c>
      <c r="H484" s="474" t="s">
        <v>2196</v>
      </c>
      <c r="I484" s="451" t="s">
        <v>18</v>
      </c>
      <c r="J484" s="451" t="s">
        <v>51</v>
      </c>
      <c r="K484" s="475"/>
      <c r="L484" s="475" t="s">
        <v>2197</v>
      </c>
      <c r="N484" s="866" t="s">
        <v>2198</v>
      </c>
      <c r="O484" s="1039"/>
      <c r="Q484" s="451" t="s">
        <v>2023</v>
      </c>
      <c r="R484" s="893"/>
      <c r="S484" s="453">
        <v>2</v>
      </c>
      <c r="T484" s="453">
        <v>2</v>
      </c>
      <c r="U484" s="1868"/>
      <c r="V484" s="456">
        <v>43473</v>
      </c>
      <c r="W484" s="451" t="s">
        <v>1769</v>
      </c>
      <c r="X484" s="451" t="s">
        <v>1154</v>
      </c>
      <c r="Y484" s="2159"/>
      <c r="Z484" s="2159"/>
    </row>
    <row r="485" spans="1:26" s="355" customFormat="1" ht="12" customHeight="1">
      <c r="A485" s="355" t="s">
        <v>527</v>
      </c>
      <c r="B485" s="355" t="s">
        <v>693</v>
      </c>
      <c r="C485" s="357">
        <v>43824</v>
      </c>
      <c r="D485" s="357">
        <v>43475</v>
      </c>
      <c r="E485" s="355" t="s">
        <v>1787</v>
      </c>
      <c r="G485" s="358" t="s">
        <v>1788</v>
      </c>
      <c r="H485" s="355" t="s">
        <v>1789</v>
      </c>
      <c r="I485" s="355" t="s">
        <v>18</v>
      </c>
      <c r="J485" s="355" t="s">
        <v>51</v>
      </c>
      <c r="L485" s="355" t="s">
        <v>1790</v>
      </c>
      <c r="N485" s="365" t="s">
        <v>1791</v>
      </c>
      <c r="O485" s="1036">
        <f>1190*2</f>
        <v>2380</v>
      </c>
      <c r="Q485" s="355" t="s">
        <v>2252</v>
      </c>
      <c r="R485" s="891">
        <v>2</v>
      </c>
      <c r="S485" s="358">
        <v>2</v>
      </c>
      <c r="T485" s="358">
        <v>1</v>
      </c>
      <c r="U485" s="1862" t="s">
        <v>2262</v>
      </c>
      <c r="V485" s="360">
        <v>43545</v>
      </c>
      <c r="W485" s="355" t="s">
        <v>1519</v>
      </c>
      <c r="X485" s="355" t="s">
        <v>1154</v>
      </c>
      <c r="Y485" s="1487"/>
      <c r="Z485" s="1487"/>
    </row>
    <row r="486" spans="1:26" ht="12" customHeight="1">
      <c r="H486" s="404"/>
      <c r="I486" s="457"/>
      <c r="J486" s="457"/>
      <c r="K486" s="457"/>
      <c r="L486" s="457"/>
      <c r="M486" s="457"/>
      <c r="N486" s="462"/>
      <c r="O486" s="1014"/>
      <c r="U486" s="1845"/>
    </row>
    <row r="487" spans="1:26" ht="12" customHeight="1">
      <c r="H487" s="7"/>
      <c r="I487" s="457"/>
      <c r="J487" s="457"/>
      <c r="K487" s="457"/>
      <c r="L487" s="457"/>
      <c r="M487" s="457"/>
      <c r="N487" s="869"/>
      <c r="O487" s="1014"/>
      <c r="U487" s="1860"/>
    </row>
    <row r="488" spans="1:26" ht="12" customHeight="1">
      <c r="H488" s="7"/>
      <c r="I488" s="457"/>
      <c r="J488" s="457"/>
      <c r="K488" s="457"/>
      <c r="L488" s="457"/>
      <c r="M488" s="457"/>
      <c r="N488" s="462"/>
      <c r="O488" s="1014"/>
      <c r="U488" s="1860"/>
    </row>
    <row r="489" spans="1:26" ht="12" customHeight="1">
      <c r="I489" s="457"/>
      <c r="J489" s="457"/>
      <c r="K489" s="457"/>
      <c r="L489" s="457"/>
      <c r="M489" s="457"/>
      <c r="N489" s="462"/>
      <c r="O489" s="1014"/>
      <c r="U489" s="1845"/>
    </row>
    <row r="490" spans="1:26" ht="12" customHeight="1" thickBot="1">
      <c r="C490" s="8"/>
      <c r="D490" s="8"/>
      <c r="H490" s="404"/>
      <c r="I490" s="457"/>
      <c r="J490" s="457"/>
      <c r="K490" s="457"/>
      <c r="L490" s="457"/>
      <c r="M490" s="457"/>
      <c r="N490" s="457"/>
    </row>
    <row r="491" spans="1:26" ht="12" customHeight="1" thickBot="1">
      <c r="A491" s="18" t="s">
        <v>2015</v>
      </c>
      <c r="B491" s="767">
        <f>SUM(O459:O489)</f>
        <v>41651</v>
      </c>
      <c r="C491" s="826">
        <f>B491/B448</f>
        <v>1.0871528502818961</v>
      </c>
      <c r="D491" s="791" t="s">
        <v>574</v>
      </c>
      <c r="E491" s="782"/>
      <c r="F491" s="7"/>
      <c r="G491" s="133"/>
      <c r="H491" s="49"/>
      <c r="I491" s="870"/>
      <c r="J491" s="870"/>
      <c r="K491" s="870"/>
      <c r="L491" s="871"/>
      <c r="M491" s="870"/>
      <c r="N491" s="870"/>
      <c r="O491" s="1012"/>
      <c r="P491" s="7"/>
      <c r="S491" s="133"/>
      <c r="T491" s="133"/>
      <c r="U491" s="1819"/>
    </row>
    <row r="492" spans="1:26" ht="12" customHeight="1" thickBot="1">
      <c r="A492" s="768" t="s">
        <v>463</v>
      </c>
      <c r="B492" s="769">
        <f>SUM(R459:R490)</f>
        <v>33</v>
      </c>
      <c r="C492" s="783">
        <f>B491/B492</f>
        <v>1262.1515151515152</v>
      </c>
      <c r="D492" s="17" t="s">
        <v>575</v>
      </c>
      <c r="E492" s="13"/>
      <c r="F492" s="7"/>
      <c r="G492" s="133"/>
      <c r="I492" s="870"/>
      <c r="J492" s="870"/>
      <c r="K492" s="872"/>
      <c r="L492" s="457"/>
      <c r="M492" s="870"/>
      <c r="N492" s="457"/>
      <c r="O492" s="1012"/>
      <c r="P492" s="7"/>
      <c r="S492" s="133"/>
      <c r="T492" s="133"/>
      <c r="U492" s="1819"/>
    </row>
    <row r="493" spans="1:26" ht="12" customHeight="1" thickBot="1">
      <c r="A493" s="7"/>
      <c r="B493" s="7"/>
      <c r="C493" s="29"/>
      <c r="D493" s="17" t="s">
        <v>576</v>
      </c>
      <c r="E493" s="13"/>
      <c r="F493" s="7"/>
      <c r="G493" s="133"/>
      <c r="H493" s="404"/>
      <c r="I493" s="870"/>
      <c r="J493" s="870"/>
      <c r="K493" s="872"/>
      <c r="L493" s="873"/>
      <c r="M493" s="870"/>
      <c r="N493" s="457"/>
      <c r="O493" s="1012"/>
      <c r="P493" s="7"/>
      <c r="S493" s="133"/>
      <c r="T493" s="133"/>
      <c r="U493" s="1819"/>
    </row>
    <row r="494" spans="1:26" ht="12" customHeight="1" thickBot="1">
      <c r="A494" s="18" t="s">
        <v>464</v>
      </c>
      <c r="B494" s="851">
        <v>0</v>
      </c>
      <c r="C494" s="29"/>
      <c r="D494" s="17" t="s">
        <v>1304</v>
      </c>
      <c r="E494" s="13"/>
      <c r="F494" s="7"/>
      <c r="G494" s="133"/>
      <c r="H494" s="404"/>
      <c r="I494" s="870"/>
      <c r="J494" s="870"/>
      <c r="K494" s="872"/>
      <c r="L494" s="872"/>
      <c r="M494" s="870"/>
      <c r="N494" s="457"/>
      <c r="P494" s="7"/>
      <c r="S494" s="133"/>
      <c r="T494" s="133"/>
      <c r="U494" s="1819"/>
    </row>
    <row r="495" spans="1:26" ht="12" customHeight="1" thickBot="1">
      <c r="A495" s="852" t="s">
        <v>574</v>
      </c>
      <c r="B495" s="853">
        <f>E497</f>
        <v>6962.6399999999976</v>
      </c>
      <c r="C495" s="29"/>
      <c r="D495" s="17" t="s">
        <v>577</v>
      </c>
      <c r="E495" s="13"/>
      <c r="F495" s="7"/>
      <c r="G495" s="133"/>
      <c r="H495" s="404"/>
      <c r="I495" s="7"/>
      <c r="J495" s="7"/>
      <c r="K495" s="49"/>
      <c r="L495" s="49"/>
      <c r="M495" s="7"/>
      <c r="N495" s="865"/>
      <c r="O495" s="1012"/>
      <c r="P495" s="7"/>
      <c r="S495" s="133"/>
      <c r="T495" s="133"/>
      <c r="U495" s="1819"/>
    </row>
    <row r="496" spans="1:26" ht="12" customHeight="1" thickBot="1">
      <c r="A496" s="510" t="s">
        <v>1534</v>
      </c>
      <c r="B496" s="854">
        <f>B491-B494-B495</f>
        <v>34688.36</v>
      </c>
      <c r="C496" s="29"/>
      <c r="D496" s="786" t="s">
        <v>578</v>
      </c>
      <c r="E496" s="541"/>
      <c r="F496" s="7"/>
      <c r="G496" s="133"/>
      <c r="H496" s="404"/>
      <c r="I496" s="7"/>
      <c r="J496" s="7"/>
      <c r="M496" s="7"/>
      <c r="N496" s="7"/>
      <c r="O496" s="1012"/>
      <c r="P496" s="7"/>
      <c r="S496" s="133"/>
      <c r="T496" s="133"/>
      <c r="U496" s="1819"/>
    </row>
    <row r="497" spans="1:26" ht="12" customHeight="1" thickBot="1">
      <c r="A497" s="768" t="s">
        <v>466</v>
      </c>
      <c r="B497" s="800">
        <f>B496/12</f>
        <v>2890.6966666666667</v>
      </c>
      <c r="C497" s="29"/>
      <c r="D497" s="801" t="s">
        <v>585</v>
      </c>
      <c r="E497" s="855">
        <v>6962.6399999999976</v>
      </c>
      <c r="F497" s="7"/>
      <c r="G497" s="133"/>
      <c r="H497" s="7"/>
      <c r="I497" s="7"/>
      <c r="J497" s="7"/>
      <c r="K497" s="404"/>
      <c r="L497" s="404"/>
      <c r="M497" s="7"/>
      <c r="N497" s="7"/>
      <c r="O497" s="1012"/>
      <c r="P497" s="7"/>
      <c r="S497" s="133"/>
      <c r="T497" s="133"/>
      <c r="U497" s="1819"/>
    </row>
    <row r="498" spans="1:26" ht="12" customHeight="1">
      <c r="A498" s="10"/>
      <c r="C498" s="34"/>
      <c r="D498" s="34"/>
      <c r="K498" s="15"/>
      <c r="N498" s="49"/>
      <c r="O498" s="1035"/>
    </row>
    <row r="499" spans="1:26" ht="12" customHeight="1">
      <c r="A499" s="10"/>
      <c r="C499" s="34"/>
      <c r="D499" s="34"/>
      <c r="K499" s="15"/>
      <c r="N499" s="49"/>
      <c r="O499" s="1035"/>
    </row>
    <row r="500" spans="1:26" ht="12" customHeight="1">
      <c r="A500" s="10"/>
      <c r="C500" s="34"/>
      <c r="D500" s="34"/>
      <c r="K500" s="15"/>
      <c r="N500" s="49"/>
      <c r="O500" s="1035"/>
    </row>
    <row r="501" spans="1:26" ht="12" customHeight="1">
      <c r="A501" s="10"/>
      <c r="C501" s="34"/>
      <c r="D501" s="34"/>
      <c r="K501" s="15"/>
      <c r="N501" s="49"/>
      <c r="O501" s="1035"/>
    </row>
    <row r="502" spans="1:26" ht="12" customHeight="1">
      <c r="A502" s="10"/>
      <c r="C502" s="34"/>
      <c r="D502" s="34"/>
      <c r="K502" s="15"/>
      <c r="N502" s="49"/>
      <c r="O502" s="1035"/>
    </row>
    <row r="503" spans="1:26" ht="12" customHeight="1">
      <c r="A503" s="10"/>
      <c r="C503" s="34"/>
      <c r="D503" s="34"/>
      <c r="K503" s="15"/>
      <c r="N503" s="49"/>
      <c r="O503" s="1035"/>
    </row>
    <row r="504" spans="1:26" s="856" customFormat="1" ht="12" customHeight="1">
      <c r="A504" s="9" t="s">
        <v>2240</v>
      </c>
      <c r="G504" s="857"/>
      <c r="O504" s="1032"/>
      <c r="R504" s="890"/>
      <c r="S504" s="857"/>
      <c r="T504" s="857"/>
      <c r="U504" s="1858"/>
      <c r="V504" s="1602"/>
      <c r="Y504" s="858"/>
      <c r="Z504" s="858"/>
    </row>
    <row r="505" spans="1:26" s="856" customFormat="1" ht="12" customHeight="1">
      <c r="A505" s="9"/>
      <c r="G505" s="857"/>
      <c r="O505" s="1032"/>
      <c r="R505" s="890"/>
      <c r="S505" s="857"/>
      <c r="T505" s="857"/>
      <c r="U505" s="1858"/>
      <c r="V505" s="1602"/>
      <c r="Y505" s="858"/>
      <c r="Z505" s="858"/>
    </row>
    <row r="506" spans="1:26" s="856" customFormat="1" ht="12" customHeight="1">
      <c r="A506" s="9"/>
      <c r="G506" s="857"/>
      <c r="O506" s="1032"/>
      <c r="R506" s="890"/>
      <c r="S506" s="857"/>
      <c r="T506" s="857"/>
      <c r="U506" s="1858"/>
      <c r="V506" s="1602"/>
      <c r="Y506" s="858"/>
      <c r="Z506" s="858"/>
    </row>
    <row r="507" spans="1:26" s="115" customFormat="1" ht="12" customHeight="1">
      <c r="A507" s="115" t="s">
        <v>2427</v>
      </c>
      <c r="B507" s="115" t="s">
        <v>2426</v>
      </c>
      <c r="C507" s="116">
        <v>43880</v>
      </c>
      <c r="D507" s="116">
        <v>43890</v>
      </c>
      <c r="E507" s="115" t="s">
        <v>2428</v>
      </c>
      <c r="G507" s="361" t="s">
        <v>2429</v>
      </c>
      <c r="H507" s="364" t="s">
        <v>2430</v>
      </c>
      <c r="I507" s="115" t="s">
        <v>18</v>
      </c>
      <c r="J507" s="115" t="s">
        <v>1023</v>
      </c>
      <c r="L507" s="124" t="s">
        <v>2431</v>
      </c>
      <c r="N507" s="128" t="s">
        <v>2432</v>
      </c>
      <c r="O507" s="1027">
        <f>790*1.5</f>
        <v>1185</v>
      </c>
      <c r="Q507" s="115" t="s">
        <v>1858</v>
      </c>
      <c r="R507" s="682">
        <v>1.5</v>
      </c>
      <c r="S507" s="361">
        <v>2</v>
      </c>
      <c r="T507" s="361">
        <v>2</v>
      </c>
      <c r="U507" s="1428">
        <v>300</v>
      </c>
      <c r="V507" s="120">
        <v>43832</v>
      </c>
      <c r="W507" s="115" t="s">
        <v>1769</v>
      </c>
      <c r="X507" s="115" t="s">
        <v>1154</v>
      </c>
      <c r="Y507" s="1486"/>
      <c r="Z507" s="1486"/>
    </row>
    <row r="509" spans="1:26" s="115" customFormat="1" ht="12" customHeight="1">
      <c r="A509" s="115" t="s">
        <v>2470</v>
      </c>
      <c r="B509" s="115" t="s">
        <v>2471</v>
      </c>
      <c r="C509" s="116">
        <v>43925</v>
      </c>
      <c r="D509" s="116">
        <v>43939</v>
      </c>
      <c r="E509" s="115" t="s">
        <v>2472</v>
      </c>
      <c r="G509" s="361" t="s">
        <v>2473</v>
      </c>
      <c r="H509" s="115" t="s">
        <v>2474</v>
      </c>
      <c r="I509" s="115" t="s">
        <v>18</v>
      </c>
      <c r="J509" s="115" t="s">
        <v>51</v>
      </c>
      <c r="L509" s="115" t="s">
        <v>2476</v>
      </c>
      <c r="N509" s="128" t="s">
        <v>2475</v>
      </c>
      <c r="O509" s="1027">
        <v>0</v>
      </c>
      <c r="Q509" s="115" t="s">
        <v>2589</v>
      </c>
      <c r="R509" s="682"/>
      <c r="S509" s="361">
        <v>4</v>
      </c>
      <c r="T509" s="361">
        <v>1</v>
      </c>
      <c r="U509" s="1870">
        <f>445</f>
        <v>445</v>
      </c>
      <c r="V509" s="120">
        <v>43854</v>
      </c>
      <c r="W509" s="115" t="s">
        <v>1338</v>
      </c>
      <c r="X509" s="115" t="s">
        <v>1154</v>
      </c>
      <c r="Y509" s="1486" t="s">
        <v>2550</v>
      </c>
      <c r="Z509" s="1486"/>
    </row>
    <row r="510" spans="1:26" s="689" customFormat="1" ht="12" customHeight="1">
      <c r="A510" s="689" t="s">
        <v>2304</v>
      </c>
      <c r="B510" s="689" t="s">
        <v>1772</v>
      </c>
      <c r="C510" s="690">
        <v>43954</v>
      </c>
      <c r="D510" s="690">
        <v>43968</v>
      </c>
      <c r="E510" s="689" t="s">
        <v>2305</v>
      </c>
      <c r="G510" s="691" t="s">
        <v>2306</v>
      </c>
      <c r="H510" s="689" t="s">
        <v>2307</v>
      </c>
      <c r="I510" s="689" t="s">
        <v>18</v>
      </c>
      <c r="J510" s="689" t="s">
        <v>1023</v>
      </c>
      <c r="K510" s="689" t="s">
        <v>2309</v>
      </c>
      <c r="L510" s="689" t="s">
        <v>2308</v>
      </c>
      <c r="N510" s="874" t="s">
        <v>2310</v>
      </c>
      <c r="O510" s="1041">
        <v>0</v>
      </c>
      <c r="Q510" s="689" t="s">
        <v>2294</v>
      </c>
      <c r="R510" s="696"/>
      <c r="S510" s="691">
        <v>4</v>
      </c>
      <c r="T510" s="691">
        <v>3</v>
      </c>
      <c r="U510" s="1871" t="s">
        <v>2317</v>
      </c>
      <c r="V510" s="695"/>
      <c r="Y510" s="1492"/>
      <c r="Z510" s="1492"/>
    </row>
    <row r="511" spans="1:26" s="699" customFormat="1" ht="12" customHeight="1">
      <c r="A511" s="699" t="s">
        <v>2288</v>
      </c>
      <c r="B511" s="699" t="s">
        <v>2287</v>
      </c>
      <c r="C511" s="700">
        <v>43974</v>
      </c>
      <c r="D511" s="700">
        <v>43988</v>
      </c>
      <c r="E511" s="699" t="s">
        <v>2289</v>
      </c>
      <c r="G511" s="701" t="s">
        <v>2290</v>
      </c>
      <c r="H511" s="699" t="s">
        <v>2291</v>
      </c>
      <c r="I511" s="699" t="s">
        <v>18</v>
      </c>
      <c r="J511" s="699" t="s">
        <v>51</v>
      </c>
      <c r="L511" s="699" t="s">
        <v>2292</v>
      </c>
      <c r="N511" s="875" t="s">
        <v>2293</v>
      </c>
      <c r="O511" s="1042">
        <v>0</v>
      </c>
      <c r="Q511" s="699" t="s">
        <v>2555</v>
      </c>
      <c r="R511" s="709"/>
      <c r="S511" s="701">
        <v>4</v>
      </c>
      <c r="T511" s="701">
        <v>3</v>
      </c>
      <c r="U511" s="1872" t="s">
        <v>2261</v>
      </c>
      <c r="V511" s="706">
        <v>43580</v>
      </c>
      <c r="W511" s="699" t="s">
        <v>1769</v>
      </c>
      <c r="X511" s="699" t="s">
        <v>1154</v>
      </c>
      <c r="Y511" s="1489" t="s">
        <v>2554</v>
      </c>
      <c r="Z511" s="1489"/>
    </row>
    <row r="512" spans="1:26" s="689" customFormat="1" ht="12" customHeight="1">
      <c r="A512" s="689" t="s">
        <v>2242</v>
      </c>
      <c r="B512" s="689" t="s">
        <v>2243</v>
      </c>
      <c r="C512" s="690">
        <v>43988</v>
      </c>
      <c r="D512" s="690">
        <v>44002</v>
      </c>
      <c r="E512" s="689" t="s">
        <v>2244</v>
      </c>
      <c r="G512" s="691" t="s">
        <v>2245</v>
      </c>
      <c r="H512" s="692" t="s">
        <v>2246</v>
      </c>
      <c r="I512" s="689" t="s">
        <v>18</v>
      </c>
      <c r="J512" s="689" t="s">
        <v>51</v>
      </c>
      <c r="K512" s="693" t="s">
        <v>2247</v>
      </c>
      <c r="L512" s="689" t="s">
        <v>2248</v>
      </c>
      <c r="N512" s="874" t="s">
        <v>2249</v>
      </c>
      <c r="O512" s="1041">
        <v>0</v>
      </c>
      <c r="Q512" s="689" t="s">
        <v>2590</v>
      </c>
      <c r="R512" s="696"/>
      <c r="S512" s="691">
        <v>6</v>
      </c>
      <c r="T512" s="691">
        <v>2</v>
      </c>
      <c r="U512" s="1871" t="s">
        <v>2261</v>
      </c>
      <c r="V512" s="695">
        <v>43545</v>
      </c>
      <c r="W512" s="689" t="s">
        <v>1769</v>
      </c>
      <c r="X512" s="689" t="s">
        <v>1154</v>
      </c>
      <c r="Y512" s="1492" t="s">
        <v>2558</v>
      </c>
      <c r="Z512" s="1492"/>
    </row>
    <row r="513" spans="1:26" s="900" customFormat="1" ht="12" customHeight="1">
      <c r="A513" s="900" t="s">
        <v>2440</v>
      </c>
      <c r="B513" s="900" t="s">
        <v>2441</v>
      </c>
      <c r="C513" s="901">
        <v>44009</v>
      </c>
      <c r="D513" s="901">
        <v>44016</v>
      </c>
      <c r="E513" s="900" t="s">
        <v>1064</v>
      </c>
      <c r="G513" s="902" t="s">
        <v>1065</v>
      </c>
      <c r="I513" s="900" t="s">
        <v>54</v>
      </c>
      <c r="J513" s="900" t="s">
        <v>19</v>
      </c>
      <c r="L513" s="900" t="s">
        <v>2443</v>
      </c>
      <c r="N513" s="903" t="s">
        <v>2442</v>
      </c>
      <c r="O513" s="1043">
        <v>0</v>
      </c>
      <c r="Q513" s="900" t="s">
        <v>2591</v>
      </c>
      <c r="R513" s="905"/>
      <c r="S513" s="902" t="s">
        <v>2444</v>
      </c>
      <c r="T513" s="902">
        <v>1</v>
      </c>
      <c r="U513" s="1873" t="s">
        <v>2445</v>
      </c>
      <c r="V513" s="907">
        <v>41302</v>
      </c>
      <c r="W513" s="900" t="s">
        <v>1071</v>
      </c>
      <c r="X513" s="900" t="s">
        <v>1154</v>
      </c>
      <c r="Y513" s="1497" t="s">
        <v>2608</v>
      </c>
      <c r="Z513" s="1497"/>
    </row>
    <row r="514" spans="1:26" s="115" customFormat="1" ht="12" customHeight="1">
      <c r="A514" s="115" t="s">
        <v>2446</v>
      </c>
      <c r="B514" s="115" t="s">
        <v>2447</v>
      </c>
      <c r="C514" s="116">
        <v>44016</v>
      </c>
      <c r="D514" s="116">
        <v>44030</v>
      </c>
      <c r="E514" s="115" t="s">
        <v>2448</v>
      </c>
      <c r="G514" s="361" t="s">
        <v>2449</v>
      </c>
      <c r="H514" s="364" t="s">
        <v>2450</v>
      </c>
      <c r="I514" s="115" t="s">
        <v>168</v>
      </c>
      <c r="J514" s="115" t="s">
        <v>51</v>
      </c>
      <c r="L514" s="124" t="s">
        <v>2451</v>
      </c>
      <c r="N514" s="128" t="s">
        <v>2452</v>
      </c>
      <c r="O514" s="1027">
        <f>2*1990+70</f>
        <v>4050</v>
      </c>
      <c r="Q514" s="115" t="s">
        <v>2250</v>
      </c>
      <c r="R514" s="682">
        <v>2</v>
      </c>
      <c r="S514" s="361">
        <v>6</v>
      </c>
      <c r="T514" s="361">
        <v>2</v>
      </c>
      <c r="U514" s="1428"/>
      <c r="V514" s="120">
        <v>43842</v>
      </c>
      <c r="W514" s="115" t="s">
        <v>1338</v>
      </c>
      <c r="X514" s="115" t="s">
        <v>1154</v>
      </c>
      <c r="Y514" s="1486"/>
      <c r="Z514" s="1486"/>
    </row>
    <row r="515" spans="1:26" s="115" customFormat="1" ht="12" customHeight="1">
      <c r="A515" s="115" t="s">
        <v>2185</v>
      </c>
      <c r="B515" s="115" t="s">
        <v>2600</v>
      </c>
      <c r="C515" s="116">
        <v>44030</v>
      </c>
      <c r="D515" s="116">
        <v>44044</v>
      </c>
      <c r="E515" s="115" t="s">
        <v>2603</v>
      </c>
      <c r="G515" s="361" t="s">
        <v>2604</v>
      </c>
      <c r="H515" s="364" t="s">
        <v>2605</v>
      </c>
      <c r="I515" s="115" t="s">
        <v>18</v>
      </c>
      <c r="J515" s="115" t="s">
        <v>51</v>
      </c>
      <c r="K515" s="115" t="s">
        <v>2606</v>
      </c>
      <c r="L515" s="124" t="s">
        <v>2602</v>
      </c>
      <c r="N515" s="128" t="s">
        <v>2601</v>
      </c>
      <c r="O515" s="1027">
        <f>1990*2</f>
        <v>3980</v>
      </c>
      <c r="Q515" s="115" t="s">
        <v>2607</v>
      </c>
      <c r="R515" s="682">
        <v>2</v>
      </c>
      <c r="S515" s="361">
        <v>5</v>
      </c>
      <c r="T515" s="361">
        <v>2</v>
      </c>
      <c r="U515" s="1428" t="s">
        <v>2609</v>
      </c>
      <c r="V515" s="120">
        <v>44005</v>
      </c>
      <c r="W515" s="115" t="s">
        <v>1338</v>
      </c>
      <c r="X515" s="115" t="s">
        <v>1154</v>
      </c>
      <c r="Y515" s="1486"/>
      <c r="Z515" s="1486"/>
    </row>
    <row r="516" spans="1:26" s="115" customFormat="1" ht="12" customHeight="1">
      <c r="A516" s="115" t="s">
        <v>2513</v>
      </c>
      <c r="B516" s="115" t="s">
        <v>2512</v>
      </c>
      <c r="C516" s="116">
        <v>44044</v>
      </c>
      <c r="D516" s="116">
        <v>44058</v>
      </c>
      <c r="E516" s="115" t="s">
        <v>2514</v>
      </c>
      <c r="G516" s="361"/>
      <c r="H516" s="364"/>
      <c r="I516" s="115" t="s">
        <v>168</v>
      </c>
      <c r="J516" s="115" t="s">
        <v>51</v>
      </c>
      <c r="L516" s="124" t="s">
        <v>2515</v>
      </c>
      <c r="N516" s="128" t="s">
        <v>2516</v>
      </c>
      <c r="O516" s="1027">
        <f>1990*2</f>
        <v>3980</v>
      </c>
      <c r="Q516" s="115" t="s">
        <v>2502</v>
      </c>
      <c r="R516" s="682">
        <v>2</v>
      </c>
      <c r="S516" s="361">
        <v>4</v>
      </c>
      <c r="T516" s="361">
        <v>1</v>
      </c>
      <c r="U516" s="1428" t="s">
        <v>2528</v>
      </c>
      <c r="V516" s="120"/>
      <c r="W516" s="115" t="s">
        <v>1338</v>
      </c>
      <c r="X516" s="115" t="s">
        <v>1154</v>
      </c>
      <c r="Y516" s="1486"/>
      <c r="Z516" s="1486"/>
    </row>
    <row r="517" spans="1:26" s="115" customFormat="1" ht="12" customHeight="1">
      <c r="A517" s="115" t="s">
        <v>2565</v>
      </c>
      <c r="B517" s="115" t="s">
        <v>2566</v>
      </c>
      <c r="C517" s="116">
        <v>44058</v>
      </c>
      <c r="D517" s="116">
        <v>44065</v>
      </c>
      <c r="E517" s="115" t="s">
        <v>2567</v>
      </c>
      <c r="G517" s="361">
        <v>77176</v>
      </c>
      <c r="H517" s="364" t="s">
        <v>2313</v>
      </c>
      <c r="I517" s="115" t="s">
        <v>23</v>
      </c>
      <c r="J517" s="115" t="s">
        <v>2568</v>
      </c>
      <c r="K517" s="115" t="s">
        <v>2569</v>
      </c>
      <c r="L517" s="124" t="s">
        <v>2570</v>
      </c>
      <c r="N517" s="128" t="s">
        <v>2571</v>
      </c>
      <c r="O517" s="1027">
        <v>1990</v>
      </c>
      <c r="Q517" s="115" t="s">
        <v>2578</v>
      </c>
      <c r="R517" s="682">
        <v>1</v>
      </c>
      <c r="S517" s="361">
        <v>6</v>
      </c>
      <c r="T517" s="361">
        <v>1</v>
      </c>
      <c r="U517" s="1428">
        <v>497.5</v>
      </c>
      <c r="V517" s="120">
        <v>43983</v>
      </c>
      <c r="W517" s="115" t="s">
        <v>1665</v>
      </c>
      <c r="X517" s="115" t="s">
        <v>1154</v>
      </c>
      <c r="Y517" s="1486"/>
      <c r="Z517" s="1486"/>
    </row>
    <row r="518" spans="1:26" s="689" customFormat="1" ht="12" customHeight="1">
      <c r="A518" s="689" t="s">
        <v>2416</v>
      </c>
      <c r="B518" s="689" t="s">
        <v>2417</v>
      </c>
      <c r="C518" s="690">
        <v>44065</v>
      </c>
      <c r="D518" s="690">
        <v>44086</v>
      </c>
      <c r="E518" s="689" t="s">
        <v>2418</v>
      </c>
      <c r="G518" s="691" t="s">
        <v>2419</v>
      </c>
      <c r="H518" s="692" t="s">
        <v>2420</v>
      </c>
      <c r="I518" s="689" t="s">
        <v>168</v>
      </c>
      <c r="J518" s="689" t="s">
        <v>1023</v>
      </c>
      <c r="K518" s="689" t="s">
        <v>2421</v>
      </c>
      <c r="L518" s="693" t="s">
        <v>2422</v>
      </c>
      <c r="N518" s="874" t="s">
        <v>2423</v>
      </c>
      <c r="O518" s="1041">
        <f>U518/2</f>
        <v>696.5</v>
      </c>
      <c r="Q518" s="689" t="s">
        <v>2626</v>
      </c>
      <c r="R518" s="696">
        <v>0</v>
      </c>
      <c r="S518" s="691">
        <v>2</v>
      </c>
      <c r="T518" s="691">
        <v>1</v>
      </c>
      <c r="U518" s="1871">
        <v>1393</v>
      </c>
      <c r="V518" s="695">
        <v>43810</v>
      </c>
      <c r="W518" s="689" t="s">
        <v>1769</v>
      </c>
      <c r="X518" s="689" t="s">
        <v>1154</v>
      </c>
      <c r="Y518" s="1492"/>
      <c r="Z518" s="1492"/>
    </row>
    <row r="519" spans="1:26" s="115" customFormat="1" ht="12" customHeight="1">
      <c r="A519" s="115" t="s">
        <v>2620</v>
      </c>
      <c r="B519" s="115" t="s">
        <v>2694</v>
      </c>
      <c r="C519" s="116">
        <v>44065</v>
      </c>
      <c r="D519" s="116">
        <v>44079</v>
      </c>
      <c r="E519" s="115" t="s">
        <v>2621</v>
      </c>
      <c r="G519" s="361" t="s">
        <v>2622</v>
      </c>
      <c r="H519" s="364" t="s">
        <v>2623</v>
      </c>
      <c r="I519" s="115" t="s">
        <v>18</v>
      </c>
      <c r="J519" s="115" t="s">
        <v>1023</v>
      </c>
      <c r="L519" s="124" t="s">
        <v>2624</v>
      </c>
      <c r="N519" s="128" t="s">
        <v>2625</v>
      </c>
      <c r="O519" s="1027">
        <f>1990*2</f>
        <v>3980</v>
      </c>
      <c r="Q519" s="115" t="s">
        <v>2627</v>
      </c>
      <c r="R519" s="682">
        <v>2</v>
      </c>
      <c r="S519" s="361">
        <v>4</v>
      </c>
      <c r="T519" s="361">
        <v>1</v>
      </c>
      <c r="U519" s="1428">
        <v>995</v>
      </c>
      <c r="V519" s="120">
        <v>44025</v>
      </c>
      <c r="W519" s="115" t="s">
        <v>1769</v>
      </c>
      <c r="X519" s="115" t="s">
        <v>1154</v>
      </c>
      <c r="Y519" s="1486"/>
      <c r="Z519" s="1486"/>
    </row>
    <row r="520" spans="1:26" s="115" customFormat="1" ht="12" customHeight="1">
      <c r="A520" s="115" t="s">
        <v>2659</v>
      </c>
      <c r="B520" s="115" t="s">
        <v>2660</v>
      </c>
      <c r="C520" s="116">
        <v>44079</v>
      </c>
      <c r="D520" s="116">
        <v>44086</v>
      </c>
      <c r="E520" s="115" t="s">
        <v>2661</v>
      </c>
      <c r="G520" s="361" t="s">
        <v>2663</v>
      </c>
      <c r="H520" s="364" t="s">
        <v>2662</v>
      </c>
      <c r="I520" s="115" t="s">
        <v>168</v>
      </c>
      <c r="J520" s="115" t="s">
        <v>51</v>
      </c>
      <c r="L520" s="124" t="s">
        <v>2664</v>
      </c>
      <c r="N520" s="128" t="s">
        <v>2665</v>
      </c>
      <c r="O520" s="1027">
        <f>1590+105</f>
        <v>1695</v>
      </c>
      <c r="Q520" s="115" t="s">
        <v>2666</v>
      </c>
      <c r="R520" s="682">
        <v>1</v>
      </c>
      <c r="S520" s="361">
        <v>4</v>
      </c>
      <c r="T520" s="361">
        <v>5</v>
      </c>
      <c r="U520" s="1428"/>
      <c r="V520" s="120"/>
      <c r="Y520" s="1486"/>
      <c r="Z520" s="1486"/>
    </row>
    <row r="521" spans="1:26" s="408" customFormat="1" ht="12" customHeight="1">
      <c r="A521" s="408" t="s">
        <v>2406</v>
      </c>
      <c r="B521" s="408" t="s">
        <v>2407</v>
      </c>
      <c r="C521" s="409">
        <v>44086</v>
      </c>
      <c r="D521" s="409">
        <v>44100</v>
      </c>
      <c r="E521" s="408" t="s">
        <v>2408</v>
      </c>
      <c r="G521" s="410" t="s">
        <v>2409</v>
      </c>
      <c r="H521" s="408" t="s">
        <v>2410</v>
      </c>
      <c r="I521" s="408" t="s">
        <v>18</v>
      </c>
      <c r="J521" s="408" t="s">
        <v>51</v>
      </c>
      <c r="K521" s="408" t="s">
        <v>2412</v>
      </c>
      <c r="L521" s="408" t="s">
        <v>2413</v>
      </c>
      <c r="N521" s="850" t="s">
        <v>2414</v>
      </c>
      <c r="O521" s="1031">
        <f>720+800</f>
        <v>1520</v>
      </c>
      <c r="Q521" s="408" t="s">
        <v>2415</v>
      </c>
      <c r="R521" s="889"/>
      <c r="S521" s="410" t="s">
        <v>674</v>
      </c>
      <c r="T521" s="410">
        <v>3</v>
      </c>
      <c r="U521" s="1865">
        <v>720</v>
      </c>
      <c r="V521" s="416">
        <v>43809</v>
      </c>
      <c r="W521" s="408" t="s">
        <v>1477</v>
      </c>
      <c r="X521" s="408" t="s">
        <v>1154</v>
      </c>
      <c r="Y521" s="1495"/>
      <c r="Z521" s="1495"/>
    </row>
    <row r="522" spans="1:26" s="115" customFormat="1" ht="12" customHeight="1">
      <c r="A522" s="115" t="s">
        <v>2696</v>
      </c>
      <c r="B522" s="115" t="s">
        <v>2697</v>
      </c>
      <c r="C522" s="116">
        <v>44086</v>
      </c>
      <c r="D522" s="116">
        <v>44093</v>
      </c>
      <c r="E522" s="115" t="s">
        <v>2698</v>
      </c>
      <c r="G522" s="361" t="s">
        <v>2699</v>
      </c>
      <c r="H522" s="115" t="s">
        <v>2700</v>
      </c>
      <c r="I522" s="115" t="s">
        <v>168</v>
      </c>
      <c r="J522" s="115" t="s">
        <v>51</v>
      </c>
      <c r="K522" s="115" t="s">
        <v>2701</v>
      </c>
      <c r="L522" s="115" t="s">
        <v>2702</v>
      </c>
      <c r="N522" s="128" t="s">
        <v>2703</v>
      </c>
      <c r="O522" s="1027">
        <v>1270</v>
      </c>
      <c r="Q522" s="921" t="s">
        <v>199</v>
      </c>
      <c r="R522" s="682">
        <v>1</v>
      </c>
      <c r="S522" s="361">
        <v>2</v>
      </c>
      <c r="T522" s="361">
        <v>0</v>
      </c>
      <c r="U522" s="1428">
        <v>0</v>
      </c>
      <c r="V522" s="120">
        <v>44085</v>
      </c>
      <c r="W522" s="120" t="s">
        <v>2704</v>
      </c>
      <c r="X522" s="115" t="s">
        <v>1217</v>
      </c>
      <c r="Y522" s="1486"/>
      <c r="Z522" s="1486"/>
    </row>
    <row r="523" spans="1:26" s="838" customFormat="1" ht="12" customHeight="1">
      <c r="A523" s="838" t="s">
        <v>2594</v>
      </c>
      <c r="B523" s="838" t="s">
        <v>2593</v>
      </c>
      <c r="C523" s="839">
        <v>44114</v>
      </c>
      <c r="D523" s="839">
        <v>44121</v>
      </c>
      <c r="E523" s="838" t="s">
        <v>2598</v>
      </c>
      <c r="G523" s="840"/>
      <c r="I523" s="838" t="s">
        <v>18</v>
      </c>
      <c r="J523" s="838" t="s">
        <v>51</v>
      </c>
      <c r="K523" s="838" t="s">
        <v>2596</v>
      </c>
      <c r="L523" s="838" t="s">
        <v>2597</v>
      </c>
      <c r="N523" s="861" t="s">
        <v>2595</v>
      </c>
      <c r="O523" s="1029">
        <v>297.5</v>
      </c>
      <c r="Q523" s="838" t="s">
        <v>2705</v>
      </c>
      <c r="R523" s="887"/>
      <c r="S523" s="840">
        <v>5</v>
      </c>
      <c r="T523" s="840">
        <v>2</v>
      </c>
      <c r="U523" s="1854">
        <v>297.5</v>
      </c>
      <c r="V523" s="844">
        <v>44003</v>
      </c>
      <c r="W523" s="838" t="s">
        <v>1477</v>
      </c>
      <c r="X523" s="838" t="s">
        <v>1154</v>
      </c>
      <c r="Y523" s="1494"/>
      <c r="Z523" s="1494"/>
    </row>
    <row r="524" spans="1:26" s="689" customFormat="1" ht="12" customHeight="1">
      <c r="A524" s="689" t="s">
        <v>2628</v>
      </c>
      <c r="B524" s="689" t="s">
        <v>2629</v>
      </c>
      <c r="C524" s="690">
        <v>44121</v>
      </c>
      <c r="D524" s="690">
        <v>44135</v>
      </c>
      <c r="E524" s="689" t="s">
        <v>2630</v>
      </c>
      <c r="G524" s="691" t="s">
        <v>2631</v>
      </c>
      <c r="H524" s="689" t="s">
        <v>2632</v>
      </c>
      <c r="I524" s="689" t="s">
        <v>168</v>
      </c>
      <c r="J524" s="689" t="s">
        <v>51</v>
      </c>
      <c r="L524" s="874" t="s">
        <v>2634</v>
      </c>
      <c r="N524" s="874" t="s">
        <v>2633</v>
      </c>
      <c r="O524" s="1041">
        <v>0</v>
      </c>
      <c r="Q524" s="689" t="s">
        <v>2635</v>
      </c>
      <c r="R524" s="696">
        <v>0</v>
      </c>
      <c r="S524" s="691">
        <v>2</v>
      </c>
      <c r="T524" s="691">
        <v>4</v>
      </c>
      <c r="U524" s="1871">
        <v>495</v>
      </c>
      <c r="V524" s="695">
        <v>44025</v>
      </c>
      <c r="W524" s="689" t="s">
        <v>1338</v>
      </c>
      <c r="X524" s="689" t="s">
        <v>1154</v>
      </c>
      <c r="Y524" s="1492"/>
      <c r="Z524" s="1492"/>
    </row>
    <row r="525" spans="1:26" s="115" customFormat="1" ht="12" customHeight="1">
      <c r="A525" s="115" t="s">
        <v>2707</v>
      </c>
      <c r="B525" s="115" t="s">
        <v>2709</v>
      </c>
      <c r="C525" s="116">
        <v>44095</v>
      </c>
      <c r="D525" s="116">
        <v>44107</v>
      </c>
      <c r="E525" s="115" t="s">
        <v>2710</v>
      </c>
      <c r="G525" s="361" t="s">
        <v>2711</v>
      </c>
      <c r="H525" s="115" t="s">
        <v>2712</v>
      </c>
      <c r="I525" s="364" t="s">
        <v>18</v>
      </c>
      <c r="J525" s="115" t="s">
        <v>51</v>
      </c>
      <c r="K525" s="115" t="s">
        <v>2714</v>
      </c>
      <c r="L525" s="115" t="s">
        <v>2713</v>
      </c>
      <c r="N525" s="128" t="s">
        <v>2708</v>
      </c>
      <c r="O525" s="1027">
        <v>2580</v>
      </c>
      <c r="Q525" s="115" t="s">
        <v>2715</v>
      </c>
      <c r="R525" s="682">
        <v>2</v>
      </c>
      <c r="S525" s="361">
        <v>6</v>
      </c>
      <c r="T525" s="361">
        <v>6</v>
      </c>
      <c r="U525" s="1428">
        <v>0</v>
      </c>
      <c r="V525" s="120">
        <v>44092</v>
      </c>
      <c r="W525" s="115" t="s">
        <v>1477</v>
      </c>
      <c r="X525" s="115" t="s">
        <v>1154</v>
      </c>
      <c r="Y525" s="1486"/>
      <c r="Z525" s="1486"/>
    </row>
    <row r="526" spans="1:26" s="115" customFormat="1" ht="12" customHeight="1">
      <c r="A526" s="115" t="s">
        <v>2753</v>
      </c>
      <c r="B526" s="115" t="s">
        <v>266</v>
      </c>
      <c r="C526" s="116">
        <v>44128</v>
      </c>
      <c r="D526" s="116">
        <v>44135</v>
      </c>
      <c r="E526" s="115" t="s">
        <v>2754</v>
      </c>
      <c r="G526" s="361">
        <v>60300</v>
      </c>
      <c r="H526" s="115" t="s">
        <v>2755</v>
      </c>
      <c r="I526" s="115" t="s">
        <v>983</v>
      </c>
      <c r="J526" s="115" t="s">
        <v>19</v>
      </c>
      <c r="L526" s="115" t="s">
        <v>2756</v>
      </c>
      <c r="N526" s="128" t="s">
        <v>2757</v>
      </c>
      <c r="O526" s="1027">
        <v>990</v>
      </c>
      <c r="Q526" s="115" t="s">
        <v>2758</v>
      </c>
      <c r="R526" s="682">
        <v>1</v>
      </c>
      <c r="S526" s="361">
        <v>5</v>
      </c>
      <c r="T526" s="361">
        <v>1</v>
      </c>
      <c r="U526" s="1737">
        <v>0</v>
      </c>
      <c r="V526" s="120">
        <v>44125</v>
      </c>
      <c r="W526" s="115" t="s">
        <v>1543</v>
      </c>
      <c r="X526" s="115" t="s">
        <v>1154</v>
      </c>
      <c r="Y526" s="1486"/>
      <c r="Z526" s="1486"/>
    </row>
    <row r="527" spans="1:26" s="115" customFormat="1" ht="12" customHeight="1">
      <c r="A527" s="505" t="s">
        <v>2812</v>
      </c>
      <c r="B527" s="115" t="s">
        <v>2811</v>
      </c>
      <c r="C527" s="116">
        <v>44191</v>
      </c>
      <c r="D527" s="116">
        <v>44198</v>
      </c>
      <c r="G527" s="361"/>
      <c r="I527" s="115" t="s">
        <v>23</v>
      </c>
      <c r="J527" s="115" t="s">
        <v>19</v>
      </c>
      <c r="K527" s="124"/>
      <c r="L527" s="115" t="s">
        <v>2813</v>
      </c>
      <c r="N527" s="128"/>
      <c r="O527" s="1044">
        <f>1449-234.07</f>
        <v>1214.93</v>
      </c>
      <c r="Q527" s="115" t="s">
        <v>1401</v>
      </c>
      <c r="R527" s="682">
        <v>1</v>
      </c>
      <c r="S527" s="361">
        <v>4</v>
      </c>
      <c r="T527" s="361">
        <v>1</v>
      </c>
      <c r="U527" s="1614"/>
      <c r="V527" s="120">
        <v>44181</v>
      </c>
      <c r="W527" s="115" t="s">
        <v>1592</v>
      </c>
      <c r="X527" s="115" t="s">
        <v>1154</v>
      </c>
      <c r="Y527" s="1486"/>
      <c r="Z527" s="1486"/>
    </row>
    <row r="528" spans="1:26" ht="12" customHeight="1">
      <c r="N528" s="49"/>
      <c r="O528" s="1014"/>
      <c r="U528" s="1845"/>
    </row>
    <row r="529" spans="1:21" ht="12" customHeight="1">
      <c r="H529" s="7"/>
      <c r="I529" s="457"/>
      <c r="J529" s="457"/>
      <c r="K529" s="457"/>
      <c r="L529" s="457"/>
      <c r="M529" s="457"/>
      <c r="N529" s="462"/>
      <c r="U529" s="1860"/>
    </row>
    <row r="530" spans="1:21" ht="12" customHeight="1">
      <c r="I530" s="457"/>
      <c r="J530" s="457"/>
      <c r="K530" s="457"/>
      <c r="L530" s="457"/>
      <c r="M530" s="457"/>
      <c r="N530" s="462"/>
      <c r="O530" s="1014"/>
      <c r="U530" s="1845"/>
    </row>
    <row r="531" spans="1:21" ht="12" customHeight="1" thickBot="1">
      <c r="C531" s="8"/>
      <c r="D531" s="8"/>
      <c r="H531" s="404"/>
      <c r="I531" s="457"/>
      <c r="J531" s="457"/>
      <c r="K531" s="457"/>
      <c r="L531" s="457"/>
      <c r="M531" s="457"/>
      <c r="N531" s="457"/>
    </row>
    <row r="532" spans="1:21" ht="12" customHeight="1" thickBot="1">
      <c r="A532" s="18" t="s">
        <v>2241</v>
      </c>
      <c r="B532" s="767">
        <f>SUM(O507:O530)</f>
        <v>29428.93</v>
      </c>
      <c r="C532" s="826">
        <f>B532/B491</f>
        <v>0.70655998655494467</v>
      </c>
      <c r="D532" s="791" t="s">
        <v>574</v>
      </c>
      <c r="E532" s="782"/>
      <c r="F532" s="7"/>
      <c r="G532" s="133"/>
      <c r="H532" s="49"/>
      <c r="I532" s="870"/>
      <c r="J532" s="870"/>
      <c r="K532" s="870"/>
      <c r="L532" s="871"/>
      <c r="M532" s="870"/>
      <c r="N532" s="870"/>
      <c r="O532" s="1012"/>
      <c r="P532" s="7"/>
      <c r="S532" s="133"/>
      <c r="T532" s="133"/>
      <c r="U532" s="1819"/>
    </row>
    <row r="533" spans="1:21" ht="12" customHeight="1" thickBot="1">
      <c r="A533" s="768" t="s">
        <v>463</v>
      </c>
      <c r="B533" s="827">
        <f>SUM(R507:R531)</f>
        <v>16.5</v>
      </c>
      <c r="C533" s="783">
        <f>B532/B533</f>
        <v>1783.5715151515151</v>
      </c>
      <c r="D533" s="17" t="s">
        <v>575</v>
      </c>
      <c r="E533" s="13"/>
      <c r="F533" s="7"/>
      <c r="G533" s="133"/>
      <c r="I533" s="870"/>
      <c r="J533" s="870"/>
      <c r="K533" s="872"/>
      <c r="L533" s="457"/>
      <c r="M533" s="870"/>
      <c r="N533" s="457"/>
      <c r="O533" s="1012"/>
      <c r="P533" s="7"/>
      <c r="S533" s="133"/>
      <c r="T533" s="133"/>
      <c r="U533" s="1819"/>
    </row>
    <row r="534" spans="1:21" ht="12" customHeight="1" thickBot="1">
      <c r="A534" s="7"/>
      <c r="B534" s="7"/>
      <c r="C534" s="29"/>
      <c r="D534" s="17" t="s">
        <v>576</v>
      </c>
      <c r="E534" s="13"/>
      <c r="F534" s="7"/>
      <c r="G534" s="133"/>
      <c r="H534" s="404"/>
      <c r="I534" s="870"/>
      <c r="J534" s="870"/>
      <c r="K534" s="872"/>
      <c r="L534" s="873"/>
      <c r="M534" s="870"/>
      <c r="N534" s="457"/>
      <c r="O534" s="1012"/>
      <c r="P534" s="7"/>
      <c r="S534" s="133"/>
      <c r="T534" s="133"/>
      <c r="U534" s="1819"/>
    </row>
    <row r="535" spans="1:21" ht="12" customHeight="1" thickBot="1">
      <c r="A535" s="18" t="s">
        <v>464</v>
      </c>
      <c r="B535" s="917">
        <v>0</v>
      </c>
      <c r="C535" s="29"/>
      <c r="D535" s="17" t="s">
        <v>1304</v>
      </c>
      <c r="E535" s="13"/>
      <c r="F535" s="7"/>
      <c r="G535" s="133"/>
      <c r="H535" s="404"/>
      <c r="I535" s="870"/>
      <c r="J535" s="870"/>
      <c r="K535" s="872"/>
      <c r="L535" s="872"/>
      <c r="M535" s="870"/>
      <c r="N535" s="457"/>
      <c r="P535" s="7"/>
      <c r="S535" s="133"/>
      <c r="T535" s="133"/>
      <c r="U535" s="1819"/>
    </row>
    <row r="536" spans="1:21" ht="12" customHeight="1" thickBot="1">
      <c r="A536" s="852" t="s">
        <v>574</v>
      </c>
      <c r="B536" s="853">
        <f>E538</f>
        <v>6962.6399999999976</v>
      </c>
      <c r="C536" s="29"/>
      <c r="D536" s="17" t="s">
        <v>577</v>
      </c>
      <c r="E536" s="13"/>
      <c r="F536" s="7"/>
      <c r="G536" s="133"/>
      <c r="H536" s="404"/>
      <c r="I536" s="7"/>
      <c r="J536" s="7"/>
      <c r="K536" s="49"/>
      <c r="L536" s="49"/>
      <c r="M536" s="7"/>
      <c r="N536" s="865"/>
      <c r="O536" s="1012"/>
      <c r="P536" s="7"/>
      <c r="S536" s="133"/>
      <c r="T536" s="133"/>
      <c r="U536" s="1819"/>
    </row>
    <row r="537" spans="1:21" ht="12" customHeight="1" thickBot="1">
      <c r="A537" s="510" t="s">
        <v>1534</v>
      </c>
      <c r="B537" s="854">
        <f>B532-B535-B536</f>
        <v>22466.29</v>
      </c>
      <c r="C537" s="29"/>
      <c r="D537" s="786" t="s">
        <v>578</v>
      </c>
      <c r="E537" s="541"/>
      <c r="F537" s="7"/>
      <c r="G537" s="133"/>
      <c r="H537" s="404"/>
      <c r="I537" s="7"/>
      <c r="J537" s="7"/>
      <c r="M537" s="7"/>
      <c r="N537" s="7"/>
      <c r="O537" s="1012"/>
      <c r="P537" s="7"/>
      <c r="S537" s="133"/>
      <c r="T537" s="133"/>
      <c r="U537" s="1819"/>
    </row>
    <row r="538" spans="1:21" ht="12" customHeight="1" thickBot="1">
      <c r="A538" s="768" t="s">
        <v>466</v>
      </c>
      <c r="B538" s="800">
        <f>B537/12</f>
        <v>1872.1908333333333</v>
      </c>
      <c r="C538" s="29"/>
      <c r="D538" s="801" t="s">
        <v>585</v>
      </c>
      <c r="E538" s="855">
        <v>6962.6399999999976</v>
      </c>
      <c r="F538" s="7"/>
      <c r="G538" s="133"/>
      <c r="H538" s="7"/>
      <c r="I538" s="7"/>
      <c r="J538" s="7"/>
      <c r="K538" s="404"/>
      <c r="L538" s="404"/>
      <c r="M538" s="7"/>
      <c r="N538" s="7"/>
      <c r="O538" s="1012"/>
      <c r="P538" s="7"/>
      <c r="S538" s="133"/>
      <c r="T538" s="133"/>
      <c r="U538" s="1819"/>
    </row>
    <row r="539" spans="1:21" ht="12" customHeight="1">
      <c r="A539" s="10"/>
      <c r="C539" s="34"/>
      <c r="D539" s="34"/>
      <c r="K539" s="15"/>
      <c r="N539" s="49"/>
      <c r="O539" s="1035"/>
      <c r="U539" s="1861"/>
    </row>
    <row r="540" spans="1:21" ht="12" customHeight="1">
      <c r="A540" s="10"/>
      <c r="C540" s="34"/>
      <c r="D540" s="34"/>
      <c r="K540" s="15"/>
      <c r="N540" s="49"/>
      <c r="O540" s="1035"/>
      <c r="U540" s="1861"/>
    </row>
    <row r="541" spans="1:21" ht="12" customHeight="1">
      <c r="A541" s="10"/>
      <c r="C541" s="34"/>
      <c r="D541" s="34"/>
      <c r="K541" s="15"/>
      <c r="N541" s="49"/>
      <c r="O541" s="1035"/>
      <c r="U541" s="1861"/>
    </row>
    <row r="542" spans="1:21" ht="12" customHeight="1">
      <c r="A542" s="10"/>
      <c r="C542" s="34"/>
      <c r="D542" s="34"/>
      <c r="K542" s="15"/>
      <c r="N542" s="49"/>
      <c r="O542" s="1035"/>
      <c r="U542" s="1861"/>
    </row>
    <row r="543" spans="1:21" ht="12" customHeight="1">
      <c r="A543" s="10"/>
      <c r="C543" s="34"/>
      <c r="D543" s="34"/>
      <c r="K543" s="15"/>
      <c r="N543" s="49"/>
      <c r="O543" s="1035"/>
      <c r="U543" s="1861"/>
    </row>
    <row r="544" spans="1:21" ht="12" customHeight="1">
      <c r="A544" s="10"/>
      <c r="C544" s="34"/>
      <c r="D544" s="34"/>
      <c r="K544" s="15"/>
      <c r="N544" s="49"/>
      <c r="O544" s="1035"/>
      <c r="U544" s="1861"/>
    </row>
    <row r="545" spans="1:26" ht="12" customHeight="1">
      <c r="A545" s="10"/>
      <c r="C545" s="34"/>
      <c r="D545" s="34"/>
      <c r="K545" s="15"/>
      <c r="N545" s="49"/>
      <c r="O545" s="1035"/>
      <c r="U545" s="1861"/>
    </row>
    <row r="546" spans="1:26" ht="12" customHeight="1">
      <c r="C546" s="34"/>
      <c r="D546" s="34"/>
      <c r="K546" s="15"/>
      <c r="N546" s="49"/>
      <c r="O546" s="1035"/>
      <c r="U546" s="1861"/>
    </row>
    <row r="547" spans="1:26" ht="12" customHeight="1">
      <c r="A547" s="10"/>
      <c r="C547" s="34"/>
      <c r="D547" s="34"/>
      <c r="K547" s="15"/>
      <c r="N547" s="49"/>
      <c r="O547" s="1035"/>
      <c r="U547" s="1861"/>
    </row>
    <row r="548" spans="1:26" ht="12" customHeight="1">
      <c r="A548" s="510" t="s">
        <v>2546</v>
      </c>
      <c r="B548" s="698" t="s">
        <v>2547</v>
      </c>
      <c r="C548" s="34"/>
      <c r="D548" s="34"/>
      <c r="K548" s="15"/>
      <c r="N548" s="49"/>
      <c r="O548" s="1035"/>
      <c r="U548" s="1861"/>
    </row>
    <row r="549" spans="1:26" ht="12" customHeight="1">
      <c r="A549" s="10"/>
      <c r="C549" s="34"/>
      <c r="D549" s="34"/>
      <c r="K549" s="15"/>
      <c r="N549" s="49"/>
      <c r="O549" s="1035"/>
      <c r="U549" s="1861"/>
    </row>
    <row r="550" spans="1:26" s="355" customFormat="1" ht="12" customHeight="1">
      <c r="A550" s="509" t="s">
        <v>2818</v>
      </c>
      <c r="B550" s="355" t="s">
        <v>2819</v>
      </c>
      <c r="C550" s="357">
        <v>44198</v>
      </c>
      <c r="D550" s="357">
        <v>44212</v>
      </c>
      <c r="E550" s="355" t="s">
        <v>2820</v>
      </c>
      <c r="G550" s="358" t="s">
        <v>2821</v>
      </c>
      <c r="H550" s="355" t="s">
        <v>2822</v>
      </c>
      <c r="I550" s="355" t="s">
        <v>23</v>
      </c>
      <c r="J550" s="355" t="s">
        <v>19</v>
      </c>
      <c r="K550" s="368" t="s">
        <v>2823</v>
      </c>
      <c r="L550" s="355" t="s">
        <v>2824</v>
      </c>
      <c r="N550" s="362" t="s">
        <v>2825</v>
      </c>
      <c r="O550" s="1036">
        <v>1600</v>
      </c>
      <c r="Q550" s="355" t="s">
        <v>1401</v>
      </c>
      <c r="R550" s="891">
        <v>2</v>
      </c>
      <c r="S550" s="358">
        <v>4</v>
      </c>
      <c r="T550" s="358">
        <v>2</v>
      </c>
      <c r="U550" s="1874"/>
      <c r="V550" s="360" t="s">
        <v>2826</v>
      </c>
      <c r="X550" s="355" t="s">
        <v>1217</v>
      </c>
      <c r="Y550" s="1487"/>
      <c r="Z550" s="1487"/>
    </row>
    <row r="551" spans="1:26" s="355" customFormat="1" ht="12" customHeight="1">
      <c r="A551" s="355" t="s">
        <v>2863</v>
      </c>
      <c r="B551" s="355" t="s">
        <v>2264</v>
      </c>
      <c r="C551" s="357">
        <v>44239</v>
      </c>
      <c r="D551" s="357">
        <v>44247</v>
      </c>
      <c r="G551" s="358"/>
      <c r="I551" s="355" t="s">
        <v>54</v>
      </c>
      <c r="J551" s="355" t="s">
        <v>19</v>
      </c>
      <c r="K551" s="368"/>
      <c r="L551" s="355" t="s">
        <v>2864</v>
      </c>
      <c r="N551" s="365" t="s">
        <v>2865</v>
      </c>
      <c r="O551" s="1036">
        <f>790+113*2+3*3*10+70+3</f>
        <v>1179</v>
      </c>
      <c r="Q551" s="355" t="s">
        <v>1910</v>
      </c>
      <c r="R551" s="891">
        <v>1</v>
      </c>
      <c r="S551" s="358">
        <v>3</v>
      </c>
      <c r="T551" s="358">
        <v>3</v>
      </c>
      <c r="U551" s="1875"/>
      <c r="V551" s="360">
        <v>44211</v>
      </c>
      <c r="X551" s="355" t="s">
        <v>1154</v>
      </c>
      <c r="Y551" s="1487"/>
      <c r="Z551" s="1487"/>
    </row>
    <row r="552" spans="1:26" s="355" customFormat="1" ht="12" customHeight="1">
      <c r="A552" s="355" t="s">
        <v>2872</v>
      </c>
      <c r="B552" s="355" t="s">
        <v>2873</v>
      </c>
      <c r="C552" s="357">
        <v>44254</v>
      </c>
      <c r="D552" s="357">
        <v>44261</v>
      </c>
      <c r="E552" s="355" t="s">
        <v>2874</v>
      </c>
      <c r="G552" s="358">
        <v>44240</v>
      </c>
      <c r="H552" s="355" t="s">
        <v>2875</v>
      </c>
      <c r="I552" s="355" t="s">
        <v>23</v>
      </c>
      <c r="J552" s="355" t="s">
        <v>19</v>
      </c>
      <c r="K552" s="368"/>
      <c r="L552" s="355" t="s">
        <v>2876</v>
      </c>
      <c r="N552" s="365" t="s">
        <v>2877</v>
      </c>
      <c r="O552" s="1036">
        <f>790+70</f>
        <v>860</v>
      </c>
      <c r="Q552" s="355" t="s">
        <v>1343</v>
      </c>
      <c r="R552" s="891">
        <v>1</v>
      </c>
      <c r="S552" s="358">
        <v>6</v>
      </c>
      <c r="T552" s="358">
        <v>0</v>
      </c>
      <c r="U552" s="1875"/>
      <c r="V552" s="360">
        <v>44251</v>
      </c>
      <c r="X552" s="355" t="s">
        <v>1154</v>
      </c>
      <c r="Y552" s="1487"/>
      <c r="Z552" s="1487"/>
    </row>
    <row r="553" spans="1:26" s="355" customFormat="1" ht="12" customHeight="1">
      <c r="A553" s="355" t="s">
        <v>2911</v>
      </c>
      <c r="B553" s="355" t="s">
        <v>2912</v>
      </c>
      <c r="C553" s="357">
        <v>44289</v>
      </c>
      <c r="D553" s="357">
        <v>44310</v>
      </c>
      <c r="E553" s="355" t="s">
        <v>2913</v>
      </c>
      <c r="G553" s="358">
        <v>75008</v>
      </c>
      <c r="H553" s="355" t="s">
        <v>2914</v>
      </c>
      <c r="I553" s="355" t="s">
        <v>103</v>
      </c>
      <c r="J553" s="355" t="s">
        <v>19</v>
      </c>
      <c r="K553" s="368"/>
      <c r="L553" s="355" t="s">
        <v>2915</v>
      </c>
      <c r="N553" s="365" t="s">
        <v>2916</v>
      </c>
      <c r="O553" s="1036">
        <f>890*3*0.8</f>
        <v>2136</v>
      </c>
      <c r="Q553" s="355" t="s">
        <v>2917</v>
      </c>
      <c r="R553" s="891">
        <v>3</v>
      </c>
      <c r="S553" s="358">
        <v>5</v>
      </c>
      <c r="T553" s="358">
        <v>1</v>
      </c>
      <c r="U553" s="1875"/>
      <c r="V553" s="360">
        <v>44288</v>
      </c>
      <c r="W553" s="355" t="s">
        <v>2884</v>
      </c>
      <c r="X553" s="355" t="s">
        <v>2918</v>
      </c>
      <c r="Y553" s="1487"/>
      <c r="Z553" s="1487"/>
    </row>
    <row r="554" spans="1:26" s="954" customFormat="1" ht="12" customHeight="1">
      <c r="A554" s="954" t="s">
        <v>2304</v>
      </c>
      <c r="B554" s="954" t="s">
        <v>1772</v>
      </c>
      <c r="C554" s="955">
        <v>44317</v>
      </c>
      <c r="D554" s="955">
        <v>44331</v>
      </c>
      <c r="E554" s="954" t="s">
        <v>2305</v>
      </c>
      <c r="G554" s="956" t="s">
        <v>2306</v>
      </c>
      <c r="H554" s="954" t="s">
        <v>2307</v>
      </c>
      <c r="I554" s="954" t="s">
        <v>18</v>
      </c>
      <c r="J554" s="954" t="s">
        <v>1023</v>
      </c>
      <c r="K554" s="954" t="s">
        <v>2309</v>
      </c>
      <c r="L554" s="954" t="s">
        <v>2308</v>
      </c>
      <c r="N554" s="957" t="s">
        <v>2310</v>
      </c>
      <c r="O554" s="1045"/>
      <c r="Q554" s="954" t="s">
        <v>2294</v>
      </c>
      <c r="R554" s="958"/>
      <c r="S554" s="956">
        <v>4</v>
      </c>
      <c r="T554" s="956">
        <v>3</v>
      </c>
      <c r="U554" s="1876" t="s">
        <v>2317</v>
      </c>
      <c r="V554" s="959"/>
      <c r="Y554" s="2160"/>
      <c r="Z554" s="2160"/>
    </row>
    <row r="555" spans="1:26" s="971" customFormat="1" ht="13.2">
      <c r="A555" s="408" t="s">
        <v>2645</v>
      </c>
      <c r="B555" s="408" t="s">
        <v>2646</v>
      </c>
      <c r="C555" s="409">
        <v>44331</v>
      </c>
      <c r="D555" s="409">
        <v>44344</v>
      </c>
      <c r="E555" s="970" t="s">
        <v>2649</v>
      </c>
      <c r="F555" s="408"/>
      <c r="G555" s="410">
        <v>8604</v>
      </c>
      <c r="H555" s="411" t="s">
        <v>2650</v>
      </c>
      <c r="I555" s="408" t="s">
        <v>168</v>
      </c>
      <c r="J555" s="408" t="s">
        <v>51</v>
      </c>
      <c r="K555" s="408"/>
      <c r="L555" s="2009" t="s">
        <v>2647</v>
      </c>
      <c r="M555" s="408"/>
      <c r="N555" s="850" t="s">
        <v>2648</v>
      </c>
      <c r="O555" s="1031">
        <v>0</v>
      </c>
      <c r="P555" s="408"/>
      <c r="Q555" s="408" t="s">
        <v>2920</v>
      </c>
      <c r="R555" s="889">
        <v>0</v>
      </c>
      <c r="S555" s="410">
        <v>2</v>
      </c>
      <c r="T555" s="410">
        <v>1</v>
      </c>
      <c r="U555" s="1865">
        <v>425</v>
      </c>
      <c r="V555" s="416">
        <v>44035</v>
      </c>
      <c r="W555" s="408" t="s">
        <v>1477</v>
      </c>
      <c r="X555" s="408" t="s">
        <v>1154</v>
      </c>
      <c r="Y555" s="1495" t="s">
        <v>2726</v>
      </c>
      <c r="Z555" s="2175" t="s">
        <v>2922</v>
      </c>
    </row>
    <row r="556" spans="1:26" s="446" customFormat="1" ht="13.2">
      <c r="A556" s="115" t="s">
        <v>2898</v>
      </c>
      <c r="B556" s="115" t="s">
        <v>2899</v>
      </c>
      <c r="C556" s="116">
        <v>44345</v>
      </c>
      <c r="D556" s="116">
        <v>44352</v>
      </c>
      <c r="E556" s="961" t="s">
        <v>2900</v>
      </c>
      <c r="F556" s="115"/>
      <c r="G556" s="361"/>
      <c r="H556" s="496" t="s">
        <v>2901</v>
      </c>
      <c r="I556" s="115" t="s">
        <v>18</v>
      </c>
      <c r="J556" s="115" t="s">
        <v>51</v>
      </c>
      <c r="K556" s="115"/>
      <c r="L556" s="935" t="s">
        <v>2902</v>
      </c>
      <c r="M556" s="115"/>
      <c r="N556" s="128" t="s">
        <v>2903</v>
      </c>
      <c r="O556" s="1027">
        <v>1190</v>
      </c>
      <c r="P556" s="115"/>
      <c r="Q556" s="115" t="s">
        <v>2674</v>
      </c>
      <c r="R556" s="682">
        <v>1</v>
      </c>
      <c r="S556" s="361">
        <v>2</v>
      </c>
      <c r="T556" s="361">
        <v>1</v>
      </c>
      <c r="U556" s="1428">
        <f>297.5+892.5</f>
        <v>1190</v>
      </c>
      <c r="V556" s="120">
        <v>44274</v>
      </c>
      <c r="W556" s="115" t="s">
        <v>2904</v>
      </c>
      <c r="X556" s="115" t="s">
        <v>1154</v>
      </c>
      <c r="Y556" s="1486"/>
      <c r="Z556" s="1608"/>
    </row>
    <row r="557" spans="1:26" s="991" customFormat="1" ht="13.2">
      <c r="A557" s="983" t="s">
        <v>2938</v>
      </c>
      <c r="B557" s="983" t="s">
        <v>1293</v>
      </c>
      <c r="C557" s="984">
        <v>44352</v>
      </c>
      <c r="D557" s="984">
        <v>44366</v>
      </c>
      <c r="E557" s="985" t="s">
        <v>2939</v>
      </c>
      <c r="F557" s="983"/>
      <c r="G557" s="986"/>
      <c r="H557" s="987"/>
      <c r="I557" s="983" t="s">
        <v>18</v>
      </c>
      <c r="J557" s="983" t="s">
        <v>51</v>
      </c>
      <c r="K557" s="983"/>
      <c r="L557" s="983" t="s">
        <v>2940</v>
      </c>
      <c r="M557" s="983"/>
      <c r="N557" s="1120" t="s">
        <v>2941</v>
      </c>
      <c r="O557" s="1046">
        <f>1190*2</f>
        <v>2380</v>
      </c>
      <c r="P557" s="983"/>
      <c r="Q557" s="983" t="s">
        <v>1192</v>
      </c>
      <c r="R557" s="988">
        <v>2</v>
      </c>
      <c r="S557" s="986">
        <v>2</v>
      </c>
      <c r="T557" s="986">
        <v>2</v>
      </c>
      <c r="U557" s="1877"/>
      <c r="V557" s="990">
        <v>44346</v>
      </c>
      <c r="W557" s="983" t="s">
        <v>1769</v>
      </c>
      <c r="X557" s="983" t="s">
        <v>1154</v>
      </c>
      <c r="Y557" s="2161"/>
      <c r="Z557" s="2176"/>
    </row>
    <row r="558" spans="1:26" s="962" customFormat="1" ht="12" customHeight="1">
      <c r="A558" s="962" t="s">
        <v>2242</v>
      </c>
      <c r="B558" s="962" t="s">
        <v>2243</v>
      </c>
      <c r="C558" s="963">
        <v>44352</v>
      </c>
      <c r="D558" s="963">
        <v>44366</v>
      </c>
      <c r="E558" s="962" t="s">
        <v>2244</v>
      </c>
      <c r="G558" s="964" t="s">
        <v>2245</v>
      </c>
      <c r="H558" s="965" t="s">
        <v>2246</v>
      </c>
      <c r="I558" s="962" t="s">
        <v>18</v>
      </c>
      <c r="J558" s="962" t="s">
        <v>51</v>
      </c>
      <c r="K558" s="966" t="s">
        <v>2247</v>
      </c>
      <c r="L558" s="962" t="s">
        <v>2248</v>
      </c>
      <c r="N558" s="967" t="s">
        <v>2249</v>
      </c>
      <c r="O558" s="1047">
        <v>0</v>
      </c>
      <c r="Q558" s="962" t="s">
        <v>2919</v>
      </c>
      <c r="R558" s="968">
        <v>0</v>
      </c>
      <c r="S558" s="964">
        <v>6</v>
      </c>
      <c r="T558" s="964">
        <v>2</v>
      </c>
      <c r="U558" s="1878" t="s">
        <v>2261</v>
      </c>
      <c r="V558" s="969">
        <v>43545</v>
      </c>
      <c r="W558" s="962" t="s">
        <v>1769</v>
      </c>
      <c r="X558" s="962" t="s">
        <v>1154</v>
      </c>
      <c r="Y558" s="2162" t="s">
        <v>2558</v>
      </c>
      <c r="Z558" s="2162"/>
    </row>
    <row r="559" spans="1:26" s="689" customFormat="1" ht="12" customHeight="1">
      <c r="A559" s="689" t="s">
        <v>2379</v>
      </c>
      <c r="B559" s="689" t="s">
        <v>1669</v>
      </c>
      <c r="C559" s="690">
        <v>44366</v>
      </c>
      <c r="D559" s="690">
        <v>44380</v>
      </c>
      <c r="E559" s="689" t="s">
        <v>2380</v>
      </c>
      <c r="G559" s="691" t="s">
        <v>2381</v>
      </c>
      <c r="H559" s="692" t="s">
        <v>2382</v>
      </c>
      <c r="I559" s="689" t="s">
        <v>18</v>
      </c>
      <c r="J559" s="689" t="s">
        <v>51</v>
      </c>
      <c r="L559" s="693" t="s">
        <v>2383</v>
      </c>
      <c r="N559" s="874" t="s">
        <v>2384</v>
      </c>
      <c r="O559" s="1041">
        <f>1590+1990-895*3</f>
        <v>895</v>
      </c>
      <c r="Q559" s="689" t="s">
        <v>2023</v>
      </c>
      <c r="R559" s="696">
        <v>0</v>
      </c>
      <c r="S559" s="691">
        <v>2</v>
      </c>
      <c r="T559" s="691">
        <v>2</v>
      </c>
      <c r="U559" s="1871" t="s">
        <v>2385</v>
      </c>
      <c r="V559" s="695">
        <v>43759</v>
      </c>
      <c r="W559" s="689" t="s">
        <v>1769</v>
      </c>
      <c r="X559" s="689" t="s">
        <v>1154</v>
      </c>
      <c r="Y559" s="1492"/>
      <c r="Z559" s="1492"/>
    </row>
    <row r="560" spans="1:26" s="355" customFormat="1" ht="12" customHeight="1">
      <c r="A560" s="355" t="s">
        <v>2406</v>
      </c>
      <c r="B560" s="355" t="s">
        <v>2407</v>
      </c>
      <c r="C560" s="357">
        <v>44364</v>
      </c>
      <c r="D560" s="357">
        <v>44373</v>
      </c>
      <c r="E560" s="355" t="s">
        <v>2408</v>
      </c>
      <c r="G560" s="358" t="s">
        <v>2409</v>
      </c>
      <c r="H560" s="355" t="s">
        <v>2410</v>
      </c>
      <c r="I560" s="355" t="s">
        <v>18</v>
      </c>
      <c r="J560" s="355" t="s">
        <v>51</v>
      </c>
      <c r="K560" s="355" t="s">
        <v>2412</v>
      </c>
      <c r="L560" s="355" t="s">
        <v>2413</v>
      </c>
      <c r="N560" s="365" t="s">
        <v>2414</v>
      </c>
      <c r="O560" s="1036">
        <v>1300</v>
      </c>
      <c r="Q560" s="355" t="s">
        <v>2415</v>
      </c>
      <c r="R560" s="891">
        <v>1</v>
      </c>
      <c r="S560" s="358" t="s">
        <v>674</v>
      </c>
      <c r="T560" s="358">
        <v>3</v>
      </c>
      <c r="U560" s="1866">
        <v>720</v>
      </c>
      <c r="V560" s="360">
        <v>43809</v>
      </c>
      <c r="W560" s="355" t="s">
        <v>1477</v>
      </c>
      <c r="X560" s="355" t="s">
        <v>1154</v>
      </c>
      <c r="Y560" s="1487"/>
      <c r="Z560" s="1487"/>
    </row>
    <row r="561" spans="1:26" s="115" customFormat="1" ht="12" customHeight="1">
      <c r="A561" s="115" t="s">
        <v>2950</v>
      </c>
      <c r="B561" s="115" t="s">
        <v>1938</v>
      </c>
      <c r="C561" s="116">
        <v>44373</v>
      </c>
      <c r="D561" s="116">
        <v>44387</v>
      </c>
      <c r="E561" s="115" t="s">
        <v>2951</v>
      </c>
      <c r="G561" s="361" t="s">
        <v>2952</v>
      </c>
      <c r="H561" s="115" t="s">
        <v>2953</v>
      </c>
      <c r="I561" s="115" t="s">
        <v>18</v>
      </c>
      <c r="J561" s="115" t="s">
        <v>51</v>
      </c>
      <c r="L561" s="115" t="s">
        <v>2954</v>
      </c>
      <c r="N561" s="128" t="s">
        <v>2955</v>
      </c>
      <c r="O561" s="1027">
        <v>2200</v>
      </c>
      <c r="Q561" s="115" t="s">
        <v>2956</v>
      </c>
      <c r="R561" s="682">
        <v>2</v>
      </c>
      <c r="S561" s="361">
        <v>2</v>
      </c>
      <c r="T561" s="361">
        <v>2</v>
      </c>
      <c r="U561" s="1428"/>
      <c r="V561" s="120">
        <v>44366</v>
      </c>
      <c r="W561" s="115" t="s">
        <v>1769</v>
      </c>
      <c r="X561" s="115" t="s">
        <v>1217</v>
      </c>
      <c r="Y561" s="1486"/>
      <c r="Z561" s="1486"/>
    </row>
    <row r="562" spans="1:26" s="498" customFormat="1" ht="12" customHeight="1">
      <c r="A562" s="498" t="s">
        <v>2185</v>
      </c>
      <c r="B562" s="498" t="s">
        <v>2934</v>
      </c>
      <c r="C562" s="499">
        <v>7</v>
      </c>
      <c r="D562" s="499">
        <v>44387</v>
      </c>
      <c r="G562" s="500"/>
      <c r="H562" s="980"/>
      <c r="I562" s="498" t="s">
        <v>18</v>
      </c>
      <c r="J562" s="498" t="s">
        <v>51</v>
      </c>
      <c r="L562" s="498" t="s">
        <v>2935</v>
      </c>
      <c r="N562" s="982" t="s">
        <v>2936</v>
      </c>
      <c r="O562" s="1040">
        <v>0</v>
      </c>
      <c r="Q562" s="498" t="s">
        <v>2942</v>
      </c>
      <c r="R562" s="894">
        <v>0</v>
      </c>
      <c r="S562" s="500">
        <v>4</v>
      </c>
      <c r="T562" s="500">
        <v>0</v>
      </c>
      <c r="U562" s="1879"/>
      <c r="V562" s="504">
        <v>44319</v>
      </c>
      <c r="W562" s="498" t="s">
        <v>2891</v>
      </c>
      <c r="Y562" s="1490"/>
      <c r="Z562" s="1490"/>
    </row>
    <row r="563" spans="1:26" s="115" customFormat="1" ht="12" customHeight="1">
      <c r="A563" s="505" t="s">
        <v>2685</v>
      </c>
      <c r="B563" s="115" t="s">
        <v>2686</v>
      </c>
      <c r="C563" s="116">
        <v>44387</v>
      </c>
      <c r="D563" s="116">
        <v>44408</v>
      </c>
      <c r="E563" s="115" t="s">
        <v>2687</v>
      </c>
      <c r="G563" s="361" t="s">
        <v>2688</v>
      </c>
      <c r="H563" s="115" t="s">
        <v>2689</v>
      </c>
      <c r="I563" s="115" t="s">
        <v>18</v>
      </c>
      <c r="J563" s="115" t="s">
        <v>51</v>
      </c>
      <c r="K563" s="124" t="s">
        <v>2690</v>
      </c>
      <c r="L563" s="115" t="s">
        <v>2691</v>
      </c>
      <c r="N563" s="363"/>
      <c r="O563" s="1027">
        <f>1990*3</f>
        <v>5970</v>
      </c>
      <c r="Q563" s="115" t="s">
        <v>1879</v>
      </c>
      <c r="R563" s="682">
        <v>3</v>
      </c>
      <c r="S563" s="361">
        <v>4</v>
      </c>
      <c r="T563" s="361">
        <v>1</v>
      </c>
      <c r="U563" s="1614">
        <v>1492.5</v>
      </c>
      <c r="V563" s="120">
        <v>44438</v>
      </c>
      <c r="W563" s="115" t="s">
        <v>1769</v>
      </c>
      <c r="X563" s="115" t="s">
        <v>1154</v>
      </c>
      <c r="Y563" s="1486"/>
      <c r="Z563" s="1486"/>
    </row>
    <row r="564" spans="1:26" s="115" customFormat="1" ht="12" customHeight="1">
      <c r="A564" s="505" t="s">
        <v>2776</v>
      </c>
      <c r="B564" s="115" t="s">
        <v>2777</v>
      </c>
      <c r="C564" s="116">
        <v>44408</v>
      </c>
      <c r="D564" s="116">
        <v>44422</v>
      </c>
      <c r="E564" s="115" t="s">
        <v>2778</v>
      </c>
      <c r="G564" s="361" t="s">
        <v>2779</v>
      </c>
      <c r="H564" s="115" t="s">
        <v>2780</v>
      </c>
      <c r="I564" s="115" t="s">
        <v>18</v>
      </c>
      <c r="J564" s="115" t="s">
        <v>51</v>
      </c>
      <c r="K564" s="124" t="s">
        <v>2781</v>
      </c>
      <c r="L564" s="115" t="s">
        <v>2782</v>
      </c>
      <c r="N564" s="128" t="s">
        <v>2783</v>
      </c>
      <c r="O564" s="1027">
        <f>1990*2+70</f>
        <v>4050</v>
      </c>
      <c r="Q564" s="115" t="s">
        <v>1244</v>
      </c>
      <c r="R564" s="682">
        <v>2</v>
      </c>
      <c r="S564" s="361">
        <v>4</v>
      </c>
      <c r="T564" s="361">
        <v>1</v>
      </c>
      <c r="U564" s="1614">
        <v>1012.5</v>
      </c>
      <c r="V564" s="120">
        <v>44158</v>
      </c>
      <c r="W564" s="115" t="s">
        <v>1477</v>
      </c>
      <c r="X564" s="115" t="s">
        <v>1154</v>
      </c>
      <c r="Y564" s="1486"/>
      <c r="Z564" s="1486"/>
    </row>
    <row r="565" spans="1:26" s="115" customFormat="1" ht="12" customHeight="1">
      <c r="A565" s="505" t="s">
        <v>2854</v>
      </c>
      <c r="B565" s="115" t="s">
        <v>2855</v>
      </c>
      <c r="C565" s="116">
        <v>44422</v>
      </c>
      <c r="D565" s="116">
        <v>44436</v>
      </c>
      <c r="E565" s="115" t="s">
        <v>2856</v>
      </c>
      <c r="G565" s="361" t="s">
        <v>2857</v>
      </c>
      <c r="H565" s="115" t="s">
        <v>2858</v>
      </c>
      <c r="I565" s="115" t="s">
        <v>18</v>
      </c>
      <c r="J565" s="115" t="s">
        <v>51</v>
      </c>
      <c r="K565" s="124" t="s">
        <v>2859</v>
      </c>
      <c r="L565" s="115" t="s">
        <v>2860</v>
      </c>
      <c r="N565" s="128" t="s">
        <v>2861</v>
      </c>
      <c r="O565" s="1027">
        <f>1990*2</f>
        <v>3980</v>
      </c>
      <c r="Q565" s="115" t="s">
        <v>2862</v>
      </c>
      <c r="R565" s="682">
        <v>2</v>
      </c>
      <c r="S565" s="361">
        <v>4</v>
      </c>
      <c r="T565" s="361">
        <v>2</v>
      </c>
      <c r="U565" s="1614"/>
      <c r="V565" s="120">
        <v>44230</v>
      </c>
      <c r="W565" s="115" t="s">
        <v>1477</v>
      </c>
      <c r="X565" s="115" t="s">
        <v>1154</v>
      </c>
      <c r="Y565" s="1486"/>
      <c r="Z565" s="1486"/>
    </row>
    <row r="566" spans="1:26" s="115" customFormat="1" ht="12" customHeight="1">
      <c r="A566" s="505" t="s">
        <v>2765</v>
      </c>
      <c r="B566" s="115" t="s">
        <v>2488</v>
      </c>
      <c r="C566" s="116">
        <v>44436</v>
      </c>
      <c r="D566" s="116">
        <v>44443</v>
      </c>
      <c r="E566" s="115" t="s">
        <v>2766</v>
      </c>
      <c r="G566" s="361" t="s">
        <v>2767</v>
      </c>
      <c r="H566" s="115" t="s">
        <v>2768</v>
      </c>
      <c r="I566" s="115" t="s">
        <v>18</v>
      </c>
      <c r="J566" s="115" t="s">
        <v>51</v>
      </c>
      <c r="K566" s="124"/>
      <c r="L566" s="115" t="s">
        <v>2769</v>
      </c>
      <c r="N566" s="128" t="s">
        <v>2770</v>
      </c>
      <c r="O566" s="1027">
        <v>1990</v>
      </c>
      <c r="Q566" s="115" t="s">
        <v>2771</v>
      </c>
      <c r="R566" s="682">
        <v>1</v>
      </c>
      <c r="S566" s="361">
        <v>4</v>
      </c>
      <c r="T566" s="361">
        <v>3</v>
      </c>
      <c r="U566" s="1614">
        <v>497.5</v>
      </c>
      <c r="V566" s="120">
        <v>44131</v>
      </c>
      <c r="W566" s="115" t="s">
        <v>1477</v>
      </c>
      <c r="X566" s="115" t="s">
        <v>1154</v>
      </c>
      <c r="Y566" s="1486"/>
      <c r="Z566" s="1486"/>
    </row>
    <row r="567" spans="1:26" s="115" customFormat="1" ht="12" customHeight="1">
      <c r="A567" s="115" t="s">
        <v>2894</v>
      </c>
      <c r="B567" s="115" t="s">
        <v>2893</v>
      </c>
      <c r="C567" s="116">
        <v>44443</v>
      </c>
      <c r="D567" s="116">
        <v>44450</v>
      </c>
      <c r="E567" s="361" t="s">
        <v>2931</v>
      </c>
      <c r="G567" s="115" t="s">
        <v>2932</v>
      </c>
      <c r="H567" s="115" t="s">
        <v>2933</v>
      </c>
      <c r="I567" s="115" t="s">
        <v>18</v>
      </c>
      <c r="J567" s="115" t="s">
        <v>51</v>
      </c>
      <c r="K567" s="124"/>
      <c r="L567" s="115" t="s">
        <v>2895</v>
      </c>
      <c r="N567" s="128" t="s">
        <v>2896</v>
      </c>
      <c r="O567" s="1027">
        <f>990+600+3*3*7+70</f>
        <v>1723</v>
      </c>
      <c r="Q567" s="115" t="s">
        <v>1321</v>
      </c>
      <c r="R567" s="682">
        <v>1</v>
      </c>
      <c r="S567" s="361">
        <v>2</v>
      </c>
      <c r="T567" s="361">
        <v>3</v>
      </c>
      <c r="U567" s="1880">
        <v>250</v>
      </c>
      <c r="V567" s="120">
        <v>44270</v>
      </c>
      <c r="W567" s="115" t="s">
        <v>1477</v>
      </c>
      <c r="X567" s="115" t="s">
        <v>1154</v>
      </c>
      <c r="Y567" s="1486"/>
      <c r="Z567" s="1486"/>
    </row>
    <row r="568" spans="1:26" s="115" customFormat="1" ht="12" customHeight="1">
      <c r="A568" s="505" t="s">
        <v>2784</v>
      </c>
      <c r="B568" s="115" t="s">
        <v>2785</v>
      </c>
      <c r="C568" s="116">
        <v>44450</v>
      </c>
      <c r="D568" s="116">
        <v>44464</v>
      </c>
      <c r="E568" s="115" t="s">
        <v>2786</v>
      </c>
      <c r="G568" s="361" t="s">
        <v>2787</v>
      </c>
      <c r="H568" s="115" t="s">
        <v>2788</v>
      </c>
      <c r="I568" s="115" t="s">
        <v>18</v>
      </c>
      <c r="J568" s="115" t="s">
        <v>1023</v>
      </c>
      <c r="K568" s="124" t="s">
        <v>2790</v>
      </c>
      <c r="L568" s="115" t="s">
        <v>2789</v>
      </c>
      <c r="N568" s="128" t="s">
        <v>2791</v>
      </c>
      <c r="O568" s="1044">
        <f>1590+1290+70</f>
        <v>2950</v>
      </c>
      <c r="Q568" s="115" t="s">
        <v>2651</v>
      </c>
      <c r="R568" s="682">
        <v>2</v>
      </c>
      <c r="S568" s="361">
        <v>2</v>
      </c>
      <c r="T568" s="361">
        <v>1</v>
      </c>
      <c r="U568" s="1614">
        <v>720</v>
      </c>
      <c r="V568" s="120">
        <v>44160</v>
      </c>
      <c r="W568" s="115" t="s">
        <v>1477</v>
      </c>
      <c r="X568" s="115" t="s">
        <v>1154</v>
      </c>
      <c r="Y568" s="1486"/>
      <c r="Z568" s="1486"/>
    </row>
    <row r="569" spans="1:26" s="115" customFormat="1" ht="12" customHeight="1">
      <c r="A569" s="115" t="s">
        <v>2984</v>
      </c>
      <c r="B569" s="115" t="s">
        <v>2983</v>
      </c>
      <c r="C569" s="116">
        <v>44464</v>
      </c>
      <c r="D569" s="116">
        <v>44471</v>
      </c>
      <c r="E569" s="115" t="s">
        <v>2985</v>
      </c>
      <c r="G569" s="361" t="s">
        <v>2986</v>
      </c>
      <c r="H569" s="115" t="s">
        <v>2987</v>
      </c>
      <c r="I569" s="115" t="s">
        <v>1775</v>
      </c>
      <c r="J569" s="115" t="s">
        <v>1023</v>
      </c>
      <c r="K569" s="124"/>
      <c r="L569" s="921" t="s">
        <v>3042</v>
      </c>
      <c r="N569" s="128" t="s">
        <v>2988</v>
      </c>
      <c r="O569" s="1044">
        <f>1290+3*2*7+70</f>
        <v>1402</v>
      </c>
      <c r="Q569" s="115" t="s">
        <v>1192</v>
      </c>
      <c r="R569" s="682">
        <v>1</v>
      </c>
      <c r="S569" s="361">
        <v>2</v>
      </c>
      <c r="T569" s="361">
        <v>2</v>
      </c>
      <c r="U569" s="1880">
        <v>322.5</v>
      </c>
      <c r="V569" s="120">
        <v>44388</v>
      </c>
      <c r="W569" s="115" t="s">
        <v>1338</v>
      </c>
      <c r="X569" s="115" t="s">
        <v>1154</v>
      </c>
      <c r="Y569" s="1486"/>
      <c r="Z569" s="1486"/>
    </row>
    <row r="570" spans="1:26" s="689" customFormat="1" ht="12" customHeight="1">
      <c r="A570" s="689" t="s">
        <v>2628</v>
      </c>
      <c r="B570" s="689" t="s">
        <v>2629</v>
      </c>
      <c r="C570" s="690">
        <v>44471</v>
      </c>
      <c r="D570" s="690">
        <v>44485</v>
      </c>
      <c r="E570" s="689" t="s">
        <v>2630</v>
      </c>
      <c r="G570" s="691" t="s">
        <v>2631</v>
      </c>
      <c r="H570" s="689" t="s">
        <v>2632</v>
      </c>
      <c r="I570" s="689" t="s">
        <v>168</v>
      </c>
      <c r="J570" s="689" t="s">
        <v>51</v>
      </c>
      <c r="L570" s="874" t="s">
        <v>2634</v>
      </c>
      <c r="N570" s="874" t="s">
        <v>2633</v>
      </c>
      <c r="O570" s="1041">
        <f>2*1190+3*4*14</f>
        <v>2548</v>
      </c>
      <c r="Q570" s="689" t="s">
        <v>2635</v>
      </c>
      <c r="R570" s="696">
        <v>2</v>
      </c>
      <c r="S570" s="691">
        <v>2</v>
      </c>
      <c r="T570" s="691">
        <v>4</v>
      </c>
      <c r="U570" s="1871">
        <v>495</v>
      </c>
      <c r="V570" s="695">
        <v>44025</v>
      </c>
      <c r="W570" s="689" t="s">
        <v>1338</v>
      </c>
      <c r="X570" s="689" t="s">
        <v>1154</v>
      </c>
      <c r="Y570" s="1492"/>
      <c r="Z570" s="1492"/>
    </row>
    <row r="571" spans="1:26" s="115" customFormat="1" ht="12" customHeight="1">
      <c r="A571" s="505" t="s">
        <v>2905</v>
      </c>
      <c r="B571" s="115" t="s">
        <v>2906</v>
      </c>
      <c r="C571" s="116">
        <v>44485</v>
      </c>
      <c r="D571" s="116">
        <v>44492</v>
      </c>
      <c r="E571" s="115" t="s">
        <v>2907</v>
      </c>
      <c r="G571" s="361" t="s">
        <v>2908</v>
      </c>
      <c r="H571" s="115" t="s">
        <v>720</v>
      </c>
      <c r="I571" s="115" t="s">
        <v>18</v>
      </c>
      <c r="J571" s="115" t="s">
        <v>51</v>
      </c>
      <c r="K571" s="124"/>
      <c r="L571" s="115" t="s">
        <v>2909</v>
      </c>
      <c r="N571" s="363"/>
      <c r="O571" s="1027">
        <f>833.5+247.5</f>
        <v>1081</v>
      </c>
      <c r="Q571" s="115" t="s">
        <v>1060</v>
      </c>
      <c r="R571" s="682">
        <v>1</v>
      </c>
      <c r="S571" s="361">
        <v>5</v>
      </c>
      <c r="T571" s="361">
        <v>1</v>
      </c>
      <c r="U571" s="1614">
        <v>247.5</v>
      </c>
      <c r="V571" s="120">
        <v>44276</v>
      </c>
      <c r="W571" s="115" t="s">
        <v>1338</v>
      </c>
      <c r="X571" s="115" t="s">
        <v>1154</v>
      </c>
      <c r="Y571" s="1486"/>
      <c r="Z571" s="1486"/>
    </row>
    <row r="572" spans="1:26" s="115" customFormat="1" ht="12" customHeight="1">
      <c r="A572" s="115" t="s">
        <v>3006</v>
      </c>
      <c r="B572" s="115" t="s">
        <v>3007</v>
      </c>
      <c r="C572" s="116">
        <v>44492</v>
      </c>
      <c r="D572" s="116">
        <v>44505</v>
      </c>
      <c r="E572" s="115" t="s">
        <v>3008</v>
      </c>
      <c r="G572" s="361" t="s">
        <v>3009</v>
      </c>
      <c r="H572" s="115" t="s">
        <v>3010</v>
      </c>
      <c r="I572" s="115" t="s">
        <v>18</v>
      </c>
      <c r="J572" s="115" t="s">
        <v>51</v>
      </c>
      <c r="K572" s="124"/>
      <c r="L572" s="115" t="s">
        <v>3011</v>
      </c>
      <c r="N572" s="128" t="s">
        <v>3012</v>
      </c>
      <c r="O572" s="1027">
        <f>990*2</f>
        <v>1980</v>
      </c>
      <c r="Q572" s="115" t="s">
        <v>2674</v>
      </c>
      <c r="R572" s="682">
        <v>2</v>
      </c>
      <c r="S572" s="361">
        <v>2</v>
      </c>
      <c r="T572" s="361">
        <v>1</v>
      </c>
      <c r="U572" s="1614">
        <v>500</v>
      </c>
      <c r="V572" s="120">
        <v>44406</v>
      </c>
      <c r="W572" s="115" t="s">
        <v>1338</v>
      </c>
      <c r="X572" s="115" t="s">
        <v>1154</v>
      </c>
      <c r="Y572" s="1486"/>
      <c r="Z572" s="1486"/>
    </row>
    <row r="573" spans="1:26" s="408" customFormat="1" ht="12" customHeight="1">
      <c r="A573" s="408" t="s">
        <v>527</v>
      </c>
      <c r="B573" s="408" t="s">
        <v>693</v>
      </c>
      <c r="C573" s="409">
        <v>44555</v>
      </c>
      <c r="D573" s="409">
        <v>44569</v>
      </c>
      <c r="E573" s="408" t="s">
        <v>1787</v>
      </c>
      <c r="G573" s="410" t="s">
        <v>1788</v>
      </c>
      <c r="H573" s="408" t="s">
        <v>1789</v>
      </c>
      <c r="I573" s="408" t="s">
        <v>18</v>
      </c>
      <c r="J573" s="408" t="s">
        <v>51</v>
      </c>
      <c r="L573" s="408" t="s">
        <v>1790</v>
      </c>
      <c r="N573" s="850" t="s">
        <v>1791</v>
      </c>
      <c r="O573" s="1031">
        <v>0</v>
      </c>
      <c r="Q573" s="408" t="s">
        <v>3044</v>
      </c>
      <c r="R573" s="889">
        <v>0</v>
      </c>
      <c r="S573" s="410">
        <v>2</v>
      </c>
      <c r="T573" s="410">
        <v>2</v>
      </c>
      <c r="U573" s="1856">
        <f>O573/4</f>
        <v>0</v>
      </c>
      <c r="V573" s="416">
        <v>44340</v>
      </c>
      <c r="W573" s="408" t="s">
        <v>1519</v>
      </c>
      <c r="X573" s="408" t="s">
        <v>1154</v>
      </c>
      <c r="Y573" s="1495"/>
      <c r="Z573" s="1495"/>
    </row>
    <row r="574" spans="1:26" s="115" customFormat="1" ht="12" customHeight="1">
      <c r="A574" s="115" t="s">
        <v>3064</v>
      </c>
      <c r="B574" s="115" t="s">
        <v>3065</v>
      </c>
      <c r="C574" s="116">
        <v>44556</v>
      </c>
      <c r="D574" s="116">
        <v>44563</v>
      </c>
      <c r="E574" s="115" t="s">
        <v>3066</v>
      </c>
      <c r="G574" s="361" t="s">
        <v>3067</v>
      </c>
      <c r="H574" s="115" t="s">
        <v>3068</v>
      </c>
      <c r="I574" s="115" t="s">
        <v>168</v>
      </c>
      <c r="J574" s="115" t="s">
        <v>19</v>
      </c>
      <c r="L574" s="115" t="s">
        <v>3069</v>
      </c>
      <c r="N574" s="128" t="s">
        <v>3070</v>
      </c>
      <c r="O574" s="1027">
        <f>U574</f>
        <v>1359.51</v>
      </c>
      <c r="P574" s="115">
        <v>4</v>
      </c>
      <c r="Q574" s="115" t="s">
        <v>1401</v>
      </c>
      <c r="R574" s="682">
        <v>1</v>
      </c>
      <c r="S574" s="361">
        <v>4</v>
      </c>
      <c r="T574" s="361"/>
      <c r="U574" s="1737">
        <f>298.2+24.35+1036.96</f>
        <v>1359.51</v>
      </c>
      <c r="V574" s="120">
        <v>44494</v>
      </c>
      <c r="X574" s="115" t="s">
        <v>1154</v>
      </c>
      <c r="Y574" s="1486"/>
      <c r="Z574" s="1486"/>
    </row>
    <row r="575" spans="1:26" ht="12" customHeight="1" thickBot="1">
      <c r="A575" s="10"/>
      <c r="C575" s="34"/>
      <c r="D575" s="34"/>
      <c r="K575" s="15"/>
      <c r="N575" s="49"/>
      <c r="O575" s="1035"/>
      <c r="U575" s="1881"/>
    </row>
    <row r="576" spans="1:26" ht="12" customHeight="1" thickBot="1">
      <c r="A576" s="18" t="s">
        <v>2693</v>
      </c>
      <c r="B576" s="767">
        <f>SUM(O549:O574)</f>
        <v>42773.51</v>
      </c>
      <c r="C576" s="826">
        <f>B576/B532</f>
        <v>1.45345107688251</v>
      </c>
      <c r="D576" s="791" t="s">
        <v>574</v>
      </c>
      <c r="E576" s="782"/>
      <c r="F576" s="7"/>
      <c r="G576" s="133"/>
      <c r="H576" s="49"/>
      <c r="I576" s="870"/>
      <c r="J576" s="870"/>
      <c r="K576" s="870"/>
      <c r="L576" s="871"/>
      <c r="M576" s="870"/>
      <c r="N576" s="870"/>
      <c r="O576" s="1012"/>
      <c r="P576" s="7"/>
      <c r="S576" s="133"/>
      <c r="T576" s="133"/>
      <c r="U576" s="1882"/>
    </row>
    <row r="577" spans="1:26" ht="12" customHeight="1" thickBot="1">
      <c r="A577" s="768" t="s">
        <v>463</v>
      </c>
      <c r="B577" s="827">
        <f>SUM(R535:R575)</f>
        <v>31</v>
      </c>
      <c r="C577" s="783">
        <f>B576/B577</f>
        <v>1379.7906451612903</v>
      </c>
      <c r="D577" s="17" t="s">
        <v>575</v>
      </c>
      <c r="E577" s="13"/>
      <c r="F577" s="7"/>
      <c r="G577" s="133"/>
      <c r="I577" s="870"/>
      <c r="J577" s="870"/>
      <c r="K577" s="872"/>
      <c r="L577" s="457"/>
      <c r="M577" s="870"/>
      <c r="N577" s="457"/>
      <c r="O577" s="1012"/>
      <c r="P577" s="7"/>
      <c r="S577" s="133"/>
      <c r="T577" s="133"/>
      <c r="U577" s="1882"/>
    </row>
    <row r="578" spans="1:26" ht="12" customHeight="1" thickBot="1">
      <c r="A578" s="7"/>
      <c r="B578" s="7"/>
      <c r="C578" s="29"/>
      <c r="D578" s="17" t="s">
        <v>576</v>
      </c>
      <c r="E578" s="13"/>
      <c r="F578" s="7"/>
      <c r="G578" s="133"/>
      <c r="H578" s="404"/>
      <c r="I578" s="870"/>
      <c r="J578" s="870"/>
      <c r="K578" s="872"/>
      <c r="L578" s="873"/>
      <c r="M578" s="870"/>
      <c r="N578" s="457"/>
      <c r="O578" s="1012"/>
      <c r="P578" s="7"/>
      <c r="S578" s="133"/>
      <c r="T578" s="133"/>
      <c r="U578" s="1882"/>
    </row>
    <row r="579" spans="1:26" ht="12" customHeight="1" thickBot="1">
      <c r="A579" s="18" t="s">
        <v>464</v>
      </c>
      <c r="B579" s="917">
        <v>0</v>
      </c>
      <c r="C579" s="29"/>
      <c r="D579" s="17" t="s">
        <v>1304</v>
      </c>
      <c r="E579" s="13"/>
      <c r="F579" s="7"/>
      <c r="G579" s="133"/>
      <c r="H579" s="404"/>
      <c r="I579" s="870"/>
      <c r="J579" s="870"/>
      <c r="K579" s="872"/>
      <c r="L579" s="872"/>
      <c r="M579" s="870"/>
      <c r="N579" s="457"/>
      <c r="P579" s="7"/>
      <c r="S579" s="133"/>
      <c r="T579" s="133"/>
      <c r="U579" s="1882"/>
    </row>
    <row r="580" spans="1:26" ht="12" customHeight="1" thickBot="1">
      <c r="A580" s="852" t="s">
        <v>574</v>
      </c>
      <c r="B580" s="853">
        <f>E582</f>
        <v>6962.6399999999976</v>
      </c>
      <c r="C580" s="29"/>
      <c r="D580" s="17" t="s">
        <v>577</v>
      </c>
      <c r="E580" s="13"/>
      <c r="F580" s="7"/>
      <c r="G580" s="133"/>
      <c r="H580" s="404"/>
      <c r="I580" s="7"/>
      <c r="J580" s="7"/>
      <c r="K580" s="49"/>
      <c r="L580" s="49"/>
      <c r="M580" s="7"/>
      <c r="N580" s="865"/>
      <c r="O580" s="1012"/>
      <c r="P580" s="7"/>
      <c r="S580" s="133"/>
      <c r="T580" s="133"/>
      <c r="U580" s="1882"/>
    </row>
    <row r="581" spans="1:26" ht="12" customHeight="1" thickBot="1">
      <c r="A581" s="510" t="s">
        <v>1534</v>
      </c>
      <c r="B581" s="854">
        <f>B576-B579-B580</f>
        <v>35810.870000000003</v>
      </c>
      <c r="C581" s="29"/>
      <c r="D581" s="786" t="s">
        <v>578</v>
      </c>
      <c r="E581" s="541"/>
      <c r="F581" s="7"/>
      <c r="G581" s="133"/>
      <c r="H581" s="404"/>
      <c r="I581" s="7"/>
      <c r="J581" s="7"/>
      <c r="M581" s="7"/>
      <c r="N581" s="7"/>
      <c r="O581" s="1012"/>
      <c r="P581" s="7"/>
      <c r="S581" s="133"/>
      <c r="T581" s="133"/>
      <c r="U581" s="1882"/>
    </row>
    <row r="582" spans="1:26" ht="12" customHeight="1" thickBot="1">
      <c r="A582" s="768" t="s">
        <v>466</v>
      </c>
      <c r="B582" s="800">
        <f>B581/12</f>
        <v>2984.2391666666667</v>
      </c>
      <c r="C582" s="29"/>
      <c r="D582" s="801" t="s">
        <v>585</v>
      </c>
      <c r="E582" s="855">
        <v>6962.6399999999976</v>
      </c>
      <c r="F582" s="7"/>
      <c r="G582" s="133"/>
      <c r="H582" s="7"/>
      <c r="I582" s="7"/>
      <c r="J582" s="7"/>
      <c r="K582" s="404"/>
      <c r="L582" s="404"/>
      <c r="M582" s="7"/>
      <c r="N582" s="7"/>
      <c r="O582" s="1012"/>
      <c r="P582" s="7"/>
      <c r="S582" s="133"/>
      <c r="T582" s="133"/>
      <c r="U582" s="1882"/>
    </row>
    <row r="583" spans="1:26" ht="12" customHeight="1">
      <c r="A583" s="10"/>
      <c r="C583" s="34"/>
      <c r="D583" s="34"/>
      <c r="K583" s="15"/>
      <c r="N583" s="49"/>
      <c r="O583" s="1035"/>
      <c r="U583" s="1881"/>
    </row>
    <row r="584" spans="1:26" ht="12" customHeight="1">
      <c r="A584" s="10"/>
      <c r="C584" s="34"/>
      <c r="D584" s="34"/>
      <c r="K584" s="15"/>
      <c r="N584" s="49"/>
      <c r="O584" s="1035"/>
      <c r="U584" s="1881"/>
    </row>
    <row r="585" spans="1:26" ht="12" customHeight="1">
      <c r="A585" s="10"/>
      <c r="C585" s="34"/>
      <c r="D585" s="34"/>
      <c r="K585" s="15"/>
      <c r="N585" s="49"/>
      <c r="O585" s="1035"/>
      <c r="U585" s="1881"/>
    </row>
    <row r="586" spans="1:26" ht="12" customHeight="1">
      <c r="A586" s="1002" t="s">
        <v>3014</v>
      </c>
      <c r="C586" s="34"/>
      <c r="D586" s="34"/>
      <c r="K586" s="15"/>
      <c r="N586" s="49"/>
      <c r="O586" s="1035"/>
      <c r="U586" s="1881"/>
    </row>
    <row r="587" spans="1:26" ht="12" customHeight="1">
      <c r="A587" s="1002"/>
      <c r="C587" s="34"/>
      <c r="D587" s="34"/>
      <c r="K587" s="15"/>
      <c r="N587" s="49"/>
      <c r="O587" s="1035"/>
      <c r="U587" s="1881"/>
    </row>
    <row r="588" spans="1:26" s="115" customFormat="1" ht="12" customHeight="1">
      <c r="A588" s="505" t="s">
        <v>3103</v>
      </c>
      <c r="B588" s="115" t="s">
        <v>1509</v>
      </c>
      <c r="C588" s="116">
        <v>44563</v>
      </c>
      <c r="D588" s="116">
        <v>44573</v>
      </c>
      <c r="E588" s="115" t="s">
        <v>3104</v>
      </c>
      <c r="G588" s="361" t="s">
        <v>3105</v>
      </c>
      <c r="H588" s="115" t="s">
        <v>3106</v>
      </c>
      <c r="I588" s="115" t="s">
        <v>18</v>
      </c>
      <c r="J588" s="115" t="s">
        <v>51</v>
      </c>
      <c r="K588" s="124" t="s">
        <v>3107</v>
      </c>
      <c r="L588" s="115" t="s">
        <v>3108</v>
      </c>
      <c r="N588" s="128" t="s">
        <v>3109</v>
      </c>
      <c r="O588" s="1044">
        <f>1380+70</f>
        <v>1450</v>
      </c>
      <c r="Q588" s="115" t="s">
        <v>1300</v>
      </c>
      <c r="R588" s="682">
        <v>1.5</v>
      </c>
      <c r="S588" s="361">
        <v>2</v>
      </c>
      <c r="T588" s="361">
        <v>3</v>
      </c>
      <c r="U588" s="1614"/>
      <c r="V588" s="120">
        <v>44558</v>
      </c>
      <c r="W588" s="115" t="s">
        <v>1477</v>
      </c>
      <c r="X588" s="115" t="s">
        <v>1154</v>
      </c>
      <c r="Y588" s="1486"/>
      <c r="Z588" s="1486"/>
    </row>
    <row r="589" spans="1:26" s="1069" customFormat="1" ht="12" customHeight="1">
      <c r="A589" s="1068" t="s">
        <v>3140</v>
      </c>
      <c r="B589" s="1069" t="s">
        <v>3139</v>
      </c>
      <c r="C589" s="1070">
        <v>44599</v>
      </c>
      <c r="D589" s="1070">
        <v>44606</v>
      </c>
      <c r="E589" s="1069" t="s">
        <v>3142</v>
      </c>
      <c r="G589" s="1071" t="s">
        <v>3143</v>
      </c>
      <c r="H589" s="1069" t="s">
        <v>3144</v>
      </c>
      <c r="I589" s="1069" t="s">
        <v>18</v>
      </c>
      <c r="J589" s="1069" t="s">
        <v>51</v>
      </c>
      <c r="K589" s="1072"/>
      <c r="L589" s="1069" t="s">
        <v>3141</v>
      </c>
      <c r="N589" s="1073"/>
      <c r="O589" s="1074">
        <f>890+21</f>
        <v>911</v>
      </c>
      <c r="Q589" s="1069" t="s">
        <v>2674</v>
      </c>
      <c r="R589" s="1075">
        <v>1</v>
      </c>
      <c r="S589" s="1071">
        <v>2</v>
      </c>
      <c r="T589" s="1071">
        <v>1</v>
      </c>
      <c r="U589" s="1883">
        <v>0</v>
      </c>
      <c r="V589" s="1176">
        <v>44592</v>
      </c>
      <c r="W589" s="1069" t="s">
        <v>1338</v>
      </c>
      <c r="X589" s="1069" t="s">
        <v>1154</v>
      </c>
      <c r="Y589" s="1504"/>
      <c r="Z589" s="1504"/>
    </row>
    <row r="590" spans="1:26" s="1090" customFormat="1" ht="12" customHeight="1">
      <c r="A590" s="1089" t="s">
        <v>3156</v>
      </c>
      <c r="B590" s="1090" t="s">
        <v>538</v>
      </c>
      <c r="C590" s="1091">
        <v>44639</v>
      </c>
      <c r="D590" s="1091">
        <v>44646</v>
      </c>
      <c r="G590" s="1092"/>
      <c r="I590" s="1090" t="s">
        <v>18</v>
      </c>
      <c r="J590" s="1090" t="s">
        <v>51</v>
      </c>
      <c r="K590" s="1093"/>
      <c r="L590" s="1090" t="s">
        <v>3157</v>
      </c>
      <c r="N590" s="1115" t="s">
        <v>3158</v>
      </c>
      <c r="O590" s="1094">
        <f>890+42</f>
        <v>932</v>
      </c>
      <c r="Q590" s="1090" t="s">
        <v>1192</v>
      </c>
      <c r="R590" s="1095">
        <v>1</v>
      </c>
      <c r="S590" s="1092">
        <v>2</v>
      </c>
      <c r="T590" s="1092">
        <v>2</v>
      </c>
      <c r="U590" s="1884">
        <v>222.5</v>
      </c>
      <c r="V590" s="1603">
        <v>44598</v>
      </c>
      <c r="W590" s="1090" t="s">
        <v>1477</v>
      </c>
      <c r="X590" s="1090" t="s">
        <v>1154</v>
      </c>
      <c r="Y590" s="2163"/>
      <c r="Z590" s="2163"/>
    </row>
    <row r="591" spans="1:26" s="973" customFormat="1" ht="12" customHeight="1">
      <c r="A591" s="1098" t="s">
        <v>3056</v>
      </c>
      <c r="B591" s="973" t="s">
        <v>3063</v>
      </c>
      <c r="C591" s="974">
        <v>44646</v>
      </c>
      <c r="D591" s="974">
        <v>44653</v>
      </c>
      <c r="E591" s="973" t="s">
        <v>3057</v>
      </c>
      <c r="G591" s="976" t="s">
        <v>3058</v>
      </c>
      <c r="H591" s="973" t="s">
        <v>3059</v>
      </c>
      <c r="I591" s="973" t="s">
        <v>18</v>
      </c>
      <c r="J591" s="973" t="s">
        <v>51</v>
      </c>
      <c r="K591" s="1099" t="s">
        <v>3061</v>
      </c>
      <c r="L591" s="973" t="s">
        <v>3060</v>
      </c>
      <c r="N591" s="1115" t="s">
        <v>3192</v>
      </c>
      <c r="O591" s="1100">
        <v>890</v>
      </c>
      <c r="Q591" s="973" t="s">
        <v>3062</v>
      </c>
      <c r="R591" s="1101">
        <v>1</v>
      </c>
      <c r="S591" s="976">
        <v>3</v>
      </c>
      <c r="T591" s="976">
        <v>3</v>
      </c>
      <c r="U591" s="1885">
        <v>250</v>
      </c>
      <c r="V591" s="978">
        <v>44856</v>
      </c>
      <c r="W591" s="973" t="s">
        <v>1477</v>
      </c>
      <c r="X591" s="973" t="s">
        <v>1154</v>
      </c>
      <c r="Y591" s="1498"/>
      <c r="Z591" s="1498"/>
    </row>
    <row r="592" spans="1:26" s="115" customFormat="1" ht="12" customHeight="1">
      <c r="A592" s="505" t="s">
        <v>3149</v>
      </c>
      <c r="B592" s="115" t="s">
        <v>3148</v>
      </c>
      <c r="C592" s="116">
        <v>44653</v>
      </c>
      <c r="D592" s="116">
        <v>44660</v>
      </c>
      <c r="E592" s="115" t="s">
        <v>3150</v>
      </c>
      <c r="G592" s="361" t="s">
        <v>3151</v>
      </c>
      <c r="H592" s="115" t="s">
        <v>3152</v>
      </c>
      <c r="I592" s="115" t="s">
        <v>18</v>
      </c>
      <c r="J592" s="115" t="s">
        <v>51</v>
      </c>
      <c r="K592" s="124"/>
      <c r="L592" s="115" t="s">
        <v>3153</v>
      </c>
      <c r="N592" s="128" t="s">
        <v>3154</v>
      </c>
      <c r="O592" s="1044">
        <v>890</v>
      </c>
      <c r="Q592" s="115" t="s">
        <v>3155</v>
      </c>
      <c r="R592" s="682">
        <v>1</v>
      </c>
      <c r="S592" s="361">
        <v>3</v>
      </c>
      <c r="T592" s="361">
        <v>2</v>
      </c>
      <c r="U592" s="1614">
        <v>222.5</v>
      </c>
      <c r="V592" s="120">
        <v>44594</v>
      </c>
      <c r="W592" s="115" t="s">
        <v>1338</v>
      </c>
      <c r="X592" s="115" t="s">
        <v>1154</v>
      </c>
      <c r="Y592" s="1486"/>
      <c r="Z592" s="1486"/>
    </row>
    <row r="593" spans="1:26" s="115" customFormat="1" ht="12" customHeight="1">
      <c r="A593" s="115" t="s">
        <v>2470</v>
      </c>
      <c r="B593" s="115" t="s">
        <v>2471</v>
      </c>
      <c r="C593" s="116">
        <v>44660</v>
      </c>
      <c r="D593" s="116">
        <v>43937</v>
      </c>
      <c r="E593" s="115" t="s">
        <v>2472</v>
      </c>
      <c r="G593" s="361" t="s">
        <v>2473</v>
      </c>
      <c r="H593" s="115" t="s">
        <v>2474</v>
      </c>
      <c r="I593" s="115" t="s">
        <v>18</v>
      </c>
      <c r="J593" s="115" t="s">
        <v>51</v>
      </c>
      <c r="L593" s="115" t="s">
        <v>2476</v>
      </c>
      <c r="N593" s="128" t="s">
        <v>2475</v>
      </c>
      <c r="O593" s="1027">
        <f>890/2+70</f>
        <v>515</v>
      </c>
      <c r="Q593" s="115" t="s">
        <v>3187</v>
      </c>
      <c r="R593" s="682">
        <v>1</v>
      </c>
      <c r="S593" s="361">
        <v>4</v>
      </c>
      <c r="T593" s="361">
        <v>1</v>
      </c>
      <c r="U593" s="1870">
        <f>445</f>
        <v>445</v>
      </c>
      <c r="V593" s="120">
        <v>43854</v>
      </c>
      <c r="W593" s="115" t="s">
        <v>1338</v>
      </c>
      <c r="X593" s="115" t="s">
        <v>1154</v>
      </c>
      <c r="Y593" s="1486" t="s">
        <v>3188</v>
      </c>
      <c r="Z593" s="1486"/>
    </row>
    <row r="594" spans="1:26" s="1090" customFormat="1" ht="12" customHeight="1">
      <c r="A594" s="1097" t="s">
        <v>614</v>
      </c>
      <c r="B594" s="1090" t="s">
        <v>3032</v>
      </c>
      <c r="C594" s="1091">
        <v>44667</v>
      </c>
      <c r="D594" s="1091">
        <v>44681</v>
      </c>
      <c r="E594" s="1090" t="s">
        <v>3033</v>
      </c>
      <c r="G594" s="1092" t="s">
        <v>3034</v>
      </c>
      <c r="H594" s="1090" t="s">
        <v>3035</v>
      </c>
      <c r="I594" s="1090" t="s">
        <v>18</v>
      </c>
      <c r="J594" s="1090" t="s">
        <v>51</v>
      </c>
      <c r="K594" s="1093" t="s">
        <v>3037</v>
      </c>
      <c r="L594" s="1090" t="s">
        <v>3036</v>
      </c>
      <c r="N594" s="1115" t="s">
        <v>3038</v>
      </c>
      <c r="O594" s="1094">
        <f>890+990+14*6+70</f>
        <v>2034</v>
      </c>
      <c r="Q594" s="1090" t="s">
        <v>1192</v>
      </c>
      <c r="R594" s="1095">
        <v>2</v>
      </c>
      <c r="S594" s="1092">
        <v>2</v>
      </c>
      <c r="T594" s="1092">
        <v>2</v>
      </c>
      <c r="U594" s="1884" t="s">
        <v>3039</v>
      </c>
      <c r="V594" s="1603"/>
      <c r="W594" s="1090" t="s">
        <v>1477</v>
      </c>
      <c r="X594" s="1090" t="s">
        <v>1154</v>
      </c>
      <c r="Y594" s="2163"/>
      <c r="Z594" s="2163"/>
    </row>
    <row r="595" spans="1:26" s="689" customFormat="1" ht="12" customHeight="1">
      <c r="A595" s="689" t="s">
        <v>2304</v>
      </c>
      <c r="B595" s="689" t="s">
        <v>1772</v>
      </c>
      <c r="C595" s="690">
        <v>44681</v>
      </c>
      <c r="D595" s="690">
        <v>44695</v>
      </c>
      <c r="E595" s="689" t="s">
        <v>2305</v>
      </c>
      <c r="G595" s="691" t="s">
        <v>2306</v>
      </c>
      <c r="H595" s="689" t="s">
        <v>2307</v>
      </c>
      <c r="I595" s="689" t="s">
        <v>18</v>
      </c>
      <c r="J595" s="689" t="s">
        <v>1023</v>
      </c>
      <c r="K595" s="689" t="s">
        <v>2309</v>
      </c>
      <c r="L595" s="689" t="s">
        <v>2308</v>
      </c>
      <c r="N595" s="874" t="s">
        <v>2310</v>
      </c>
      <c r="O595" s="1041">
        <f>990*2+3*14*3+70</f>
        <v>2176</v>
      </c>
      <c r="Q595" s="689" t="s">
        <v>3118</v>
      </c>
      <c r="R595" s="696">
        <v>2</v>
      </c>
      <c r="S595" s="691">
        <v>4</v>
      </c>
      <c r="T595" s="691">
        <v>3</v>
      </c>
      <c r="U595" s="1871" t="s">
        <v>2317</v>
      </c>
      <c r="V595" s="695" t="s">
        <v>2892</v>
      </c>
      <c r="Y595" s="1492"/>
      <c r="Z595" s="1492"/>
    </row>
    <row r="596" spans="1:26" s="1052" customFormat="1" ht="12" customHeight="1">
      <c r="A596" s="1051" t="s">
        <v>2727</v>
      </c>
      <c r="B596" s="1052" t="s">
        <v>2728</v>
      </c>
      <c r="C596" s="1053" t="s">
        <v>2921</v>
      </c>
      <c r="D596" s="1054">
        <v>44702</v>
      </c>
      <c r="E596" s="1052" t="s">
        <v>2729</v>
      </c>
      <c r="G596" s="1055" t="s">
        <v>2730</v>
      </c>
      <c r="H596" s="1052" t="s">
        <v>2731</v>
      </c>
      <c r="I596" s="1052" t="s">
        <v>1775</v>
      </c>
      <c r="J596" s="1052" t="s">
        <v>51</v>
      </c>
      <c r="K596" s="1056"/>
      <c r="L596" s="1052" t="s">
        <v>3117</v>
      </c>
      <c r="N596" s="1057" t="s">
        <v>2732</v>
      </c>
      <c r="O596" s="1058"/>
      <c r="Q596" s="1052" t="s">
        <v>2733</v>
      </c>
      <c r="R596" s="1059">
        <v>0</v>
      </c>
      <c r="S596" s="1055">
        <v>4</v>
      </c>
      <c r="T596" s="1055">
        <v>3</v>
      </c>
      <c r="U596" s="1886">
        <v>431</v>
      </c>
      <c r="V596" s="1604">
        <v>44099</v>
      </c>
      <c r="W596" s="1052" t="s">
        <v>1477</v>
      </c>
      <c r="X596" s="1052" t="s">
        <v>1154</v>
      </c>
      <c r="Y596" s="2164" t="s">
        <v>3119</v>
      </c>
      <c r="Z596" s="2164"/>
    </row>
    <row r="597" spans="1:26" s="689" customFormat="1" ht="12" customHeight="1">
      <c r="A597" s="689" t="s">
        <v>2379</v>
      </c>
      <c r="B597" s="689" t="s">
        <v>1669</v>
      </c>
      <c r="C597" s="690">
        <v>44695</v>
      </c>
      <c r="D597" s="690">
        <v>44702</v>
      </c>
      <c r="E597" s="689" t="s">
        <v>2380</v>
      </c>
      <c r="G597" s="691" t="s">
        <v>2381</v>
      </c>
      <c r="H597" s="692" t="s">
        <v>2382</v>
      </c>
      <c r="I597" s="689" t="s">
        <v>18</v>
      </c>
      <c r="J597" s="689" t="s">
        <v>51</v>
      </c>
      <c r="L597" s="693" t="s">
        <v>2383</v>
      </c>
      <c r="N597" s="874" t="s">
        <v>2384</v>
      </c>
      <c r="O597" s="1041">
        <v>600</v>
      </c>
      <c r="Q597" s="689" t="s">
        <v>2023</v>
      </c>
      <c r="R597" s="696">
        <v>1</v>
      </c>
      <c r="S597" s="691">
        <v>2</v>
      </c>
      <c r="T597" s="691">
        <v>2</v>
      </c>
      <c r="U597" s="1871" t="s">
        <v>2385</v>
      </c>
      <c r="V597" s="695">
        <v>43759</v>
      </c>
      <c r="W597" s="689" t="s">
        <v>3159</v>
      </c>
      <c r="X597" s="689" t="s">
        <v>1154</v>
      </c>
      <c r="Y597" s="1492"/>
      <c r="Z597" s="1492"/>
    </row>
    <row r="598" spans="1:26" s="446" customFormat="1" ht="13.2">
      <c r="A598" s="115" t="s">
        <v>2898</v>
      </c>
      <c r="B598" s="115" t="s">
        <v>2899</v>
      </c>
      <c r="C598" s="116">
        <v>44702</v>
      </c>
      <c r="D598" s="116">
        <v>44709</v>
      </c>
      <c r="E598" s="961" t="s">
        <v>2900</v>
      </c>
      <c r="F598" s="115"/>
      <c r="G598" s="361"/>
      <c r="H598" s="496" t="s">
        <v>2901</v>
      </c>
      <c r="I598" s="115" t="s">
        <v>18</v>
      </c>
      <c r="J598" s="115" t="s">
        <v>51</v>
      </c>
      <c r="K598" s="115"/>
      <c r="L598" s="935" t="s">
        <v>2902</v>
      </c>
      <c r="M598" s="115"/>
      <c r="N598" s="128" t="s">
        <v>2903</v>
      </c>
      <c r="O598" s="1027">
        <v>1190</v>
      </c>
      <c r="P598" s="115"/>
      <c r="Q598" s="115" t="s">
        <v>2674</v>
      </c>
      <c r="R598" s="682">
        <v>1</v>
      </c>
      <c r="S598" s="361">
        <v>2</v>
      </c>
      <c r="T598" s="361">
        <v>1</v>
      </c>
      <c r="U598" s="1428">
        <v>297.5</v>
      </c>
      <c r="V598" s="120">
        <v>44466</v>
      </c>
      <c r="W598" s="115" t="s">
        <v>3043</v>
      </c>
      <c r="X598" s="115" t="s">
        <v>1154</v>
      </c>
      <c r="Y598" s="1486"/>
      <c r="Z598" s="1608"/>
    </row>
    <row r="599" spans="1:26" s="1136" customFormat="1" ht="12" customHeight="1">
      <c r="A599" s="1136" t="s">
        <v>3016</v>
      </c>
      <c r="B599" s="1136" t="s">
        <v>682</v>
      </c>
      <c r="C599" s="1144">
        <v>44709</v>
      </c>
      <c r="D599" s="1137">
        <v>44723</v>
      </c>
      <c r="E599" s="1136" t="s">
        <v>3017</v>
      </c>
      <c r="G599" s="1139" t="s">
        <v>3018</v>
      </c>
      <c r="H599" s="1136" t="s">
        <v>3019</v>
      </c>
      <c r="I599" s="1136" t="s">
        <v>18</v>
      </c>
      <c r="J599" s="1136" t="s">
        <v>51</v>
      </c>
      <c r="K599" s="1145" t="s">
        <v>3021</v>
      </c>
      <c r="L599" s="1136" t="s">
        <v>3020</v>
      </c>
      <c r="N599" s="1146" t="s">
        <v>3022</v>
      </c>
      <c r="O599" s="1141">
        <f>1190+1390</f>
        <v>2580</v>
      </c>
      <c r="Q599" s="1136" t="s">
        <v>3023</v>
      </c>
      <c r="R599" s="1142">
        <v>2</v>
      </c>
      <c r="S599" s="1139">
        <v>6</v>
      </c>
      <c r="T599" s="1139">
        <v>3</v>
      </c>
      <c r="U599" s="1887">
        <v>645</v>
      </c>
      <c r="V599" s="1199">
        <v>44425</v>
      </c>
      <c r="W599" s="1136" t="s">
        <v>1477</v>
      </c>
      <c r="X599" s="1136" t="s">
        <v>1154</v>
      </c>
      <c r="Y599" s="1508"/>
      <c r="Z599" s="1508"/>
    </row>
    <row r="600" spans="1:26" s="1136" customFormat="1" ht="12" customHeight="1">
      <c r="A600" s="1136" t="s">
        <v>3120</v>
      </c>
      <c r="B600" s="1136" t="s">
        <v>2686</v>
      </c>
      <c r="C600" s="1144">
        <v>44723</v>
      </c>
      <c r="D600" s="1137">
        <v>44730</v>
      </c>
      <c r="E600" s="1136" t="s">
        <v>3124</v>
      </c>
      <c r="G600" s="1139" t="s">
        <v>3123</v>
      </c>
      <c r="H600" s="1136" t="s">
        <v>239</v>
      </c>
      <c r="I600" s="1136" t="s">
        <v>18</v>
      </c>
      <c r="J600" s="1136" t="s">
        <v>51</v>
      </c>
      <c r="K600" s="1136" t="s">
        <v>3121</v>
      </c>
      <c r="L600" s="1136" t="s">
        <v>3122</v>
      </c>
      <c r="N600" s="1181" t="s">
        <v>4844</v>
      </c>
      <c r="O600" s="1141">
        <f>1590+70+21</f>
        <v>1681</v>
      </c>
      <c r="Q600" s="1136" t="s">
        <v>3126</v>
      </c>
      <c r="R600" s="1142">
        <v>1</v>
      </c>
      <c r="S600" s="1139">
        <v>2</v>
      </c>
      <c r="T600" s="1139">
        <v>1</v>
      </c>
      <c r="U600" s="1887">
        <v>400</v>
      </c>
      <c r="V600" s="1199">
        <v>44568</v>
      </c>
      <c r="W600" s="1136" t="s">
        <v>1338</v>
      </c>
      <c r="X600" s="1136" t="s">
        <v>1154</v>
      </c>
      <c r="Y600" s="1508"/>
      <c r="Z600" s="1508"/>
    </row>
    <row r="601" spans="1:26" s="408" customFormat="1" ht="12" customHeight="1">
      <c r="A601" s="408" t="s">
        <v>2242</v>
      </c>
      <c r="B601" s="408" t="s">
        <v>2243</v>
      </c>
      <c r="C601" s="409">
        <v>44723</v>
      </c>
      <c r="D601" s="409">
        <v>44737</v>
      </c>
      <c r="E601" s="408" t="s">
        <v>2244</v>
      </c>
      <c r="G601" s="410" t="s">
        <v>2245</v>
      </c>
      <c r="H601" s="1011" t="s">
        <v>2246</v>
      </c>
      <c r="I601" s="408" t="s">
        <v>18</v>
      </c>
      <c r="J601" s="408" t="s">
        <v>51</v>
      </c>
      <c r="K601" s="412" t="s">
        <v>2247</v>
      </c>
      <c r="L601" s="408" t="s">
        <v>2248</v>
      </c>
      <c r="N601" s="850" t="s">
        <v>2249</v>
      </c>
      <c r="O601" s="1031"/>
      <c r="Q601" s="408" t="s">
        <v>2919</v>
      </c>
      <c r="R601" s="889">
        <v>0</v>
      </c>
      <c r="S601" s="410">
        <v>6</v>
      </c>
      <c r="T601" s="410">
        <v>2</v>
      </c>
      <c r="U601" s="1865" t="s">
        <v>2261</v>
      </c>
      <c r="V601" s="416">
        <v>43545</v>
      </c>
      <c r="W601" s="408" t="s">
        <v>1769</v>
      </c>
      <c r="X601" s="408" t="s">
        <v>1154</v>
      </c>
      <c r="Y601" s="1495" t="s">
        <v>3041</v>
      </c>
      <c r="Z601" s="1495"/>
    </row>
    <row r="602" spans="1:26" s="1136" customFormat="1" ht="12" customHeight="1">
      <c r="A602" s="1136" t="s">
        <v>2991</v>
      </c>
      <c r="B602" s="1136" t="s">
        <v>2992</v>
      </c>
      <c r="C602" s="1137">
        <v>44737</v>
      </c>
      <c r="D602" s="1137">
        <v>44751</v>
      </c>
      <c r="E602" s="1138" t="s">
        <v>2993</v>
      </c>
      <c r="G602" s="1139" t="s">
        <v>2995</v>
      </c>
      <c r="H602" s="1138" t="s">
        <v>2994</v>
      </c>
      <c r="I602" s="1136" t="s">
        <v>18</v>
      </c>
      <c r="J602" s="1136" t="s">
        <v>51</v>
      </c>
      <c r="L602" s="1138" t="s">
        <v>2996</v>
      </c>
      <c r="N602" s="2004" t="s">
        <v>2997</v>
      </c>
      <c r="O602" s="1141">
        <f>1990*2</f>
        <v>3980</v>
      </c>
      <c r="Q602" s="1136" t="s">
        <v>1899</v>
      </c>
      <c r="R602" s="1142">
        <v>2</v>
      </c>
      <c r="S602" s="1139">
        <v>4</v>
      </c>
      <c r="T602" s="1139">
        <v>3</v>
      </c>
      <c r="U602" s="1888" t="s">
        <v>3005</v>
      </c>
      <c r="V602" s="1199">
        <v>44403</v>
      </c>
      <c r="Y602" s="1508"/>
      <c r="Z602" s="1508"/>
    </row>
    <row r="603" spans="1:26" s="1136" customFormat="1" ht="12" customHeight="1">
      <c r="A603" s="1136" t="s">
        <v>3024</v>
      </c>
      <c r="B603" s="1136" t="s">
        <v>3025</v>
      </c>
      <c r="C603" s="1137">
        <v>44751</v>
      </c>
      <c r="D603" s="1137">
        <v>44765</v>
      </c>
      <c r="E603" s="1138" t="s">
        <v>3026</v>
      </c>
      <c r="G603" s="1139" t="s">
        <v>3027</v>
      </c>
      <c r="H603" s="1138" t="s">
        <v>3028</v>
      </c>
      <c r="I603" s="1136" t="s">
        <v>18</v>
      </c>
      <c r="J603" s="1136" t="s">
        <v>51</v>
      </c>
      <c r="L603" s="1138" t="s">
        <v>3029</v>
      </c>
      <c r="N603" s="2004" t="s">
        <v>3030</v>
      </c>
      <c r="O603" s="1141">
        <f>1990*2+70</f>
        <v>4050</v>
      </c>
      <c r="Q603" s="1136" t="s">
        <v>3282</v>
      </c>
      <c r="R603" s="1142">
        <v>2</v>
      </c>
      <c r="S603" s="1139">
        <v>2</v>
      </c>
      <c r="T603" s="1139">
        <v>2</v>
      </c>
      <c r="U603" s="1888" t="s">
        <v>3031</v>
      </c>
      <c r="V603" s="1199">
        <v>44428</v>
      </c>
      <c r="W603" s="1136" t="s">
        <v>1477</v>
      </c>
      <c r="X603" s="1136" t="s">
        <v>1154</v>
      </c>
      <c r="Y603" s="1508"/>
      <c r="Z603" s="1508"/>
    </row>
    <row r="604" spans="1:26" s="1136" customFormat="1" ht="12" customHeight="1">
      <c r="A604" s="1136" t="s">
        <v>3088</v>
      </c>
      <c r="B604" s="1136" t="s">
        <v>1174</v>
      </c>
      <c r="C604" s="1137">
        <v>44765</v>
      </c>
      <c r="D604" s="1137">
        <v>44779</v>
      </c>
      <c r="E604" s="1138" t="s">
        <v>3089</v>
      </c>
      <c r="G604" s="1139" t="s">
        <v>3090</v>
      </c>
      <c r="H604" s="1138" t="s">
        <v>3091</v>
      </c>
      <c r="I604" s="1136" t="s">
        <v>18</v>
      </c>
      <c r="J604" s="1136" t="s">
        <v>51</v>
      </c>
      <c r="L604" s="1138" t="s">
        <v>3092</v>
      </c>
      <c r="N604" s="2004" t="s">
        <v>3093</v>
      </c>
      <c r="O604" s="1141">
        <f>1990*2+3*14*2+70</f>
        <v>4134</v>
      </c>
      <c r="Q604" s="1136" t="s">
        <v>3094</v>
      </c>
      <c r="R604" s="1142">
        <v>2</v>
      </c>
      <c r="S604" s="1139">
        <v>4</v>
      </c>
      <c r="T604" s="1139">
        <v>2</v>
      </c>
      <c r="U604" s="1888">
        <v>1016</v>
      </c>
      <c r="V604" s="1199">
        <v>44516</v>
      </c>
      <c r="W604" s="1136" t="s">
        <v>1477</v>
      </c>
      <c r="X604" s="1136" t="s">
        <v>1154</v>
      </c>
      <c r="Y604" s="1508"/>
      <c r="Z604" s="1508"/>
    </row>
    <row r="605" spans="1:26" s="1136" customFormat="1" ht="12" customHeight="1">
      <c r="A605" s="1136" t="s">
        <v>3097</v>
      </c>
      <c r="B605" s="1136" t="s">
        <v>847</v>
      </c>
      <c r="C605" s="1137">
        <v>44779</v>
      </c>
      <c r="D605" s="1137">
        <v>44793</v>
      </c>
      <c r="E605" s="1138" t="s">
        <v>3098</v>
      </c>
      <c r="G605" s="1139" t="s">
        <v>3099</v>
      </c>
      <c r="H605" s="1138" t="s">
        <v>3100</v>
      </c>
      <c r="I605" s="1136" t="s">
        <v>18</v>
      </c>
      <c r="J605" s="1136" t="s">
        <v>1023</v>
      </c>
      <c r="L605" s="1138" t="s">
        <v>3101</v>
      </c>
      <c r="N605" s="2004"/>
      <c r="O605" s="1141">
        <f>1990*2+70</f>
        <v>4050</v>
      </c>
      <c r="Q605" s="1136" t="s">
        <v>3094</v>
      </c>
      <c r="R605" s="1142">
        <v>2</v>
      </c>
      <c r="S605" s="1139">
        <v>4</v>
      </c>
      <c r="T605" s="1139">
        <v>2</v>
      </c>
      <c r="U605" s="1888">
        <v>995</v>
      </c>
      <c r="V605" s="1199">
        <v>44510</v>
      </c>
      <c r="W605" s="1136" t="s">
        <v>1338</v>
      </c>
      <c r="X605" s="1136" t="s">
        <v>1154</v>
      </c>
      <c r="Y605" s="1508"/>
      <c r="Z605" s="1508"/>
    </row>
    <row r="606" spans="1:26" s="1136" customFormat="1" ht="12" customHeight="1">
      <c r="A606" s="1136" t="s">
        <v>2959</v>
      </c>
      <c r="B606" s="1136" t="s">
        <v>2958</v>
      </c>
      <c r="C606" s="1137">
        <v>44793</v>
      </c>
      <c r="D606" s="1137">
        <v>44807</v>
      </c>
      <c r="E606" s="1136" t="s">
        <v>1064</v>
      </c>
      <c r="G606" s="1139" t="s">
        <v>1065</v>
      </c>
      <c r="H606" s="1136" t="s">
        <v>54</v>
      </c>
      <c r="I606" s="1136" t="s">
        <v>54</v>
      </c>
      <c r="J606" s="1136" t="s">
        <v>19</v>
      </c>
      <c r="K606" s="1136" t="s">
        <v>1067</v>
      </c>
      <c r="L606" s="1136" t="s">
        <v>1066</v>
      </c>
      <c r="N606" s="1198" t="s">
        <v>1068</v>
      </c>
      <c r="O606" s="1141">
        <f>1990*2+70</f>
        <v>4050</v>
      </c>
      <c r="Q606" s="1136" t="s">
        <v>1808</v>
      </c>
      <c r="R606" s="1142">
        <v>2</v>
      </c>
      <c r="S606" s="1139"/>
      <c r="T606" s="1139">
        <v>1</v>
      </c>
      <c r="U606" s="1888">
        <v>995</v>
      </c>
      <c r="V606" s="1199">
        <v>43041</v>
      </c>
      <c r="W606" s="1136" t="s">
        <v>1519</v>
      </c>
      <c r="X606" s="1136" t="s">
        <v>1154</v>
      </c>
      <c r="Y606" s="1508"/>
      <c r="Z606" s="1508"/>
    </row>
    <row r="607" spans="1:26" s="1148" customFormat="1" ht="12" customHeight="1">
      <c r="A607" s="1186" t="s">
        <v>2784</v>
      </c>
      <c r="B607" s="1148" t="s">
        <v>2785</v>
      </c>
      <c r="C607" s="1149">
        <v>44807</v>
      </c>
      <c r="D607" s="1149">
        <v>44821</v>
      </c>
      <c r="E607" s="1148" t="s">
        <v>2786</v>
      </c>
      <c r="G607" s="1150" t="s">
        <v>2787</v>
      </c>
      <c r="H607" s="1148" t="s">
        <v>2788</v>
      </c>
      <c r="I607" s="1148" t="s">
        <v>18</v>
      </c>
      <c r="J607" s="1148" t="s">
        <v>1023</v>
      </c>
      <c r="K607" s="1187" t="s">
        <v>2790</v>
      </c>
      <c r="L607" s="1148" t="s">
        <v>2789</v>
      </c>
      <c r="N607" s="1151" t="s">
        <v>2791</v>
      </c>
      <c r="O607" s="1188">
        <f>1590+1590</f>
        <v>3180</v>
      </c>
      <c r="Q607" s="1148" t="s">
        <v>2651</v>
      </c>
      <c r="R607" s="1153">
        <v>2</v>
      </c>
      <c r="S607" s="1150">
        <v>2</v>
      </c>
      <c r="T607" s="1150">
        <v>1</v>
      </c>
      <c r="U607" s="1889">
        <v>795</v>
      </c>
      <c r="V607" s="1155">
        <v>44463</v>
      </c>
      <c r="W607" s="1148" t="s">
        <v>3015</v>
      </c>
      <c r="X607" s="1148" t="s">
        <v>1154</v>
      </c>
      <c r="Y607" s="1501"/>
      <c r="Z607" s="1501"/>
    </row>
    <row r="608" spans="1:26" s="355" customFormat="1" ht="12" customHeight="1">
      <c r="A608" s="355" t="s">
        <v>2406</v>
      </c>
      <c r="B608" s="355" t="s">
        <v>2407</v>
      </c>
      <c r="C608" s="357">
        <v>44821</v>
      </c>
      <c r="D608" s="357">
        <v>44835</v>
      </c>
      <c r="E608" s="355" t="s">
        <v>2408</v>
      </c>
      <c r="G608" s="358" t="s">
        <v>2409</v>
      </c>
      <c r="H608" s="355" t="s">
        <v>2410</v>
      </c>
      <c r="I608" s="355" t="s">
        <v>18</v>
      </c>
      <c r="J608" s="355" t="s">
        <v>51</v>
      </c>
      <c r="K608" s="355" t="s">
        <v>2412</v>
      </c>
      <c r="L608" s="355" t="s">
        <v>2413</v>
      </c>
      <c r="N608" s="365" t="s">
        <v>2414</v>
      </c>
      <c r="O608" s="1036">
        <f>2580+70+3*3*14</f>
        <v>2776</v>
      </c>
      <c r="Q608" s="355" t="s">
        <v>3330</v>
      </c>
      <c r="R608" s="891">
        <v>2</v>
      </c>
      <c r="S608" s="358">
        <v>2</v>
      </c>
      <c r="T608" s="358">
        <v>3</v>
      </c>
      <c r="U608" s="1866">
        <v>645</v>
      </c>
      <c r="V608" s="360">
        <v>44410</v>
      </c>
      <c r="W608" s="355" t="s">
        <v>3015</v>
      </c>
      <c r="X608" s="355" t="s">
        <v>1154</v>
      </c>
      <c r="Y608" s="1487"/>
      <c r="Z608" s="1487"/>
    </row>
    <row r="609" spans="1:26" s="1136" customFormat="1" ht="12" customHeight="1">
      <c r="A609" s="1136" t="s">
        <v>2628</v>
      </c>
      <c r="B609" s="1136" t="s">
        <v>2629</v>
      </c>
      <c r="C609" s="1137">
        <v>44470</v>
      </c>
      <c r="D609" s="1137">
        <v>44484</v>
      </c>
      <c r="E609" s="1136" t="s">
        <v>2630</v>
      </c>
      <c r="G609" s="1139" t="s">
        <v>2631</v>
      </c>
      <c r="H609" s="1136" t="s">
        <v>2632</v>
      </c>
      <c r="I609" s="1136" t="s">
        <v>168</v>
      </c>
      <c r="J609" s="1136" t="s">
        <v>51</v>
      </c>
      <c r="L609" s="1146" t="s">
        <v>3349</v>
      </c>
      <c r="N609" s="1146" t="s">
        <v>2633</v>
      </c>
      <c r="O609" s="1141">
        <f>2*1190+3*4*14+70</f>
        <v>2618</v>
      </c>
      <c r="Q609" s="1136" t="s">
        <v>2635</v>
      </c>
      <c r="R609" s="1142">
        <v>2</v>
      </c>
      <c r="S609" s="1139">
        <v>2</v>
      </c>
      <c r="T609" s="1139">
        <v>4</v>
      </c>
      <c r="U609" s="1890">
        <v>595</v>
      </c>
      <c r="V609" s="1199">
        <v>44025</v>
      </c>
      <c r="W609" s="1136" t="s">
        <v>1338</v>
      </c>
      <c r="X609" s="1136" t="s">
        <v>1154</v>
      </c>
      <c r="Y609" s="1508"/>
      <c r="Z609" s="1508"/>
    </row>
    <row r="610" spans="1:26" s="1003" customFormat="1" ht="12" customHeight="1">
      <c r="A610" s="1003" t="s">
        <v>3110</v>
      </c>
      <c r="B610" s="1003" t="s">
        <v>652</v>
      </c>
      <c r="C610" s="1004">
        <v>44849</v>
      </c>
      <c r="D610" s="1004">
        <v>44856</v>
      </c>
      <c r="E610" s="1003" t="s">
        <v>3111</v>
      </c>
      <c r="G610" s="1005" t="s">
        <v>3112</v>
      </c>
      <c r="H610" s="1003" t="s">
        <v>3113</v>
      </c>
      <c r="I610" s="1003" t="s">
        <v>18</v>
      </c>
      <c r="J610" s="1003" t="s">
        <v>51</v>
      </c>
      <c r="K610" s="1003" t="s">
        <v>3114</v>
      </c>
      <c r="L610" s="1007" t="s">
        <v>3115</v>
      </c>
      <c r="N610" s="1007" t="s">
        <v>3116</v>
      </c>
      <c r="O610" s="1192">
        <v>272.5</v>
      </c>
      <c r="P610" s="1003" t="s">
        <v>2674</v>
      </c>
      <c r="R610" s="1193">
        <v>0</v>
      </c>
      <c r="S610" s="1005">
        <v>2</v>
      </c>
      <c r="T610" s="1005">
        <v>1</v>
      </c>
      <c r="U610" s="1891">
        <v>272.5</v>
      </c>
      <c r="V610" s="1010">
        <v>44565</v>
      </c>
      <c r="W610" s="1003" t="s">
        <v>1477</v>
      </c>
      <c r="X610" s="1003" t="s">
        <v>1154</v>
      </c>
      <c r="Y610" s="1499" t="s">
        <v>3322</v>
      </c>
      <c r="Z610" s="1499"/>
    </row>
    <row r="611" spans="1:26" s="1213" customFormat="1" ht="12" customHeight="1">
      <c r="C611" s="1214"/>
      <c r="D611" s="1214"/>
      <c r="G611" s="1215"/>
      <c r="L611" s="1216"/>
      <c r="N611" s="1216"/>
      <c r="O611" s="1217"/>
      <c r="R611" s="1218"/>
      <c r="S611" s="1215"/>
      <c r="T611" s="1215"/>
      <c r="U611" s="1892"/>
      <c r="V611" s="1219"/>
      <c r="Y611" s="2165"/>
      <c r="Z611" s="2165"/>
    </row>
    <row r="612" spans="1:26" s="1136" customFormat="1" ht="12" customHeight="1">
      <c r="A612" s="1200" t="s">
        <v>3056</v>
      </c>
      <c r="B612" s="1136" t="s">
        <v>3063</v>
      </c>
      <c r="C612" s="1137">
        <v>44849</v>
      </c>
      <c r="D612" s="1137">
        <v>44856</v>
      </c>
      <c r="E612" s="1136" t="s">
        <v>3057</v>
      </c>
      <c r="G612" s="1139" t="s">
        <v>3058</v>
      </c>
      <c r="H612" s="1136" t="s">
        <v>3059</v>
      </c>
      <c r="I612" s="1136" t="s">
        <v>18</v>
      </c>
      <c r="J612" s="1136" t="s">
        <v>51</v>
      </c>
      <c r="K612" s="1145" t="s">
        <v>3061</v>
      </c>
      <c r="L612" s="1136" t="s">
        <v>3060</v>
      </c>
      <c r="N612" s="1146" t="s">
        <v>3192</v>
      </c>
      <c r="O612" s="1201">
        <f>1090+3*3*7+70</f>
        <v>1223</v>
      </c>
      <c r="Q612" s="1136" t="s">
        <v>1300</v>
      </c>
      <c r="R612" s="1142">
        <v>1</v>
      </c>
      <c r="S612" s="1139">
        <v>3</v>
      </c>
      <c r="T612" s="1139">
        <v>3</v>
      </c>
      <c r="U612" s="1893">
        <v>1233</v>
      </c>
      <c r="V612" s="1199">
        <v>44795</v>
      </c>
      <c r="W612" s="1136" t="s">
        <v>3328</v>
      </c>
      <c r="X612" s="1136" t="s">
        <v>1154</v>
      </c>
      <c r="Y612" s="1508"/>
      <c r="Z612" s="1508"/>
    </row>
    <row r="613" spans="1:26" s="355" customFormat="1" ht="12" customHeight="1">
      <c r="A613" s="355" t="s">
        <v>527</v>
      </c>
      <c r="B613" s="355" t="s">
        <v>693</v>
      </c>
      <c r="C613" s="357">
        <v>44919</v>
      </c>
      <c r="D613" s="357">
        <v>44933</v>
      </c>
      <c r="E613" s="355" t="s">
        <v>1787</v>
      </c>
      <c r="G613" s="358" t="s">
        <v>1788</v>
      </c>
      <c r="H613" s="355" t="s">
        <v>1789</v>
      </c>
      <c r="I613" s="355" t="s">
        <v>18</v>
      </c>
      <c r="J613" s="355" t="s">
        <v>51</v>
      </c>
      <c r="L613" s="355" t="s">
        <v>1790</v>
      </c>
      <c r="N613" s="365" t="s">
        <v>1791</v>
      </c>
      <c r="O613" s="1036">
        <f>1290*2+70</f>
        <v>2650</v>
      </c>
      <c r="Q613" s="355" t="s">
        <v>3044</v>
      </c>
      <c r="R613" s="891">
        <v>2</v>
      </c>
      <c r="S613" s="358">
        <v>2</v>
      </c>
      <c r="T613" s="358">
        <v>2</v>
      </c>
      <c r="U613" s="1862">
        <v>663</v>
      </c>
      <c r="V613" s="360">
        <v>44696</v>
      </c>
      <c r="W613" s="355" t="s">
        <v>1519</v>
      </c>
      <c r="X613" s="355" t="s">
        <v>1154</v>
      </c>
      <c r="Y613" s="1487"/>
      <c r="Z613" s="1487"/>
    </row>
    <row r="614" spans="1:26" ht="12" customHeight="1">
      <c r="B614" s="8">
        <v>3</v>
      </c>
      <c r="L614" s="1103"/>
      <c r="N614" s="1103"/>
      <c r="O614" s="1108"/>
      <c r="U614" s="1894"/>
    </row>
    <row r="615" spans="1:26" ht="12" customHeight="1" thickBot="1">
      <c r="L615" s="1103"/>
      <c r="N615" s="1103"/>
      <c r="O615" s="1108"/>
      <c r="U615" s="1894"/>
    </row>
    <row r="616" spans="1:26" s="407" customFormat="1" ht="12" customHeight="1" thickBot="1">
      <c r="A616" s="18" t="s">
        <v>3013</v>
      </c>
      <c r="B616" s="1050">
        <f>SUM(O586:O616)</f>
        <v>48832.5</v>
      </c>
      <c r="C616" s="826">
        <f>B616/B576</f>
        <v>1.1416528594450162</v>
      </c>
      <c r="D616" s="791" t="s">
        <v>574</v>
      </c>
      <c r="E616" s="782"/>
      <c r="G616" s="999"/>
      <c r="H616" s="998"/>
      <c r="I616" s="2010"/>
      <c r="J616" s="2010"/>
      <c r="K616" s="2010"/>
      <c r="L616" s="1538"/>
      <c r="M616" s="2010"/>
      <c r="N616" s="1121"/>
      <c r="O616" s="2011"/>
      <c r="P616" s="2010"/>
      <c r="Q616" s="2010"/>
      <c r="R616" s="2012"/>
      <c r="S616" s="2013"/>
      <c r="T616" s="2013"/>
      <c r="U616" s="2014"/>
      <c r="V616" s="2015"/>
      <c r="Y616" s="1519"/>
      <c r="Z616" s="1519"/>
    </row>
    <row r="617" spans="1:26" s="407" customFormat="1" ht="12" customHeight="1" thickBot="1">
      <c r="A617" s="768" t="s">
        <v>463</v>
      </c>
      <c r="B617" s="827">
        <f>SUM(R586:R616)</f>
        <v>34.5</v>
      </c>
      <c r="C617" s="783">
        <f>B616/B617</f>
        <v>1415.4347826086957</v>
      </c>
      <c r="D617" s="17" t="s">
        <v>575</v>
      </c>
      <c r="E617" s="13"/>
      <c r="G617" s="999"/>
      <c r="H617" s="998"/>
      <c r="I617" s="2010"/>
      <c r="J617" s="2010"/>
      <c r="K617" s="2010"/>
      <c r="L617" s="1538"/>
      <c r="M617" s="2010"/>
      <c r="N617" s="1121"/>
      <c r="O617" s="2011"/>
      <c r="P617" s="2010"/>
      <c r="Q617" s="2010"/>
      <c r="R617" s="2012"/>
      <c r="S617" s="2013"/>
      <c r="T617" s="2013"/>
      <c r="U617" s="2014"/>
      <c r="V617" s="2015"/>
      <c r="Y617" s="1519"/>
      <c r="Z617" s="1519"/>
    </row>
    <row r="618" spans="1:26" s="407" customFormat="1" ht="12" customHeight="1" thickBot="1">
      <c r="A618" s="7"/>
      <c r="B618" s="7"/>
      <c r="C618" s="29"/>
      <c r="D618" s="17" t="s">
        <v>576</v>
      </c>
      <c r="E618" s="13"/>
      <c r="G618" s="999"/>
      <c r="H618" s="998"/>
      <c r="I618" s="2010"/>
      <c r="J618" s="2010"/>
      <c r="K618" s="2010"/>
      <c r="L618" s="1538"/>
      <c r="M618" s="2010"/>
      <c r="N618" s="1121"/>
      <c r="O618" s="2011"/>
      <c r="P618" s="2010"/>
      <c r="Q618" s="2010"/>
      <c r="R618" s="2012"/>
      <c r="S618" s="2013"/>
      <c r="T618" s="2013"/>
      <c r="U618" s="2014"/>
      <c r="V618" s="2015"/>
      <c r="Y618" s="1519"/>
      <c r="Z618" s="1519"/>
    </row>
    <row r="619" spans="1:26" s="407" customFormat="1" ht="12" customHeight="1" thickBot="1">
      <c r="A619" s="18" t="s">
        <v>464</v>
      </c>
      <c r="B619" s="917">
        <v>0</v>
      </c>
      <c r="C619" s="29"/>
      <c r="D619" s="17" t="s">
        <v>1304</v>
      </c>
      <c r="E619" s="13"/>
      <c r="G619" s="999"/>
      <c r="H619" s="998"/>
      <c r="I619" s="2010"/>
      <c r="J619" s="2010"/>
      <c r="K619" s="2010"/>
      <c r="L619" s="1538"/>
      <c r="M619" s="2010"/>
      <c r="N619" s="1121"/>
      <c r="O619" s="2011"/>
      <c r="P619" s="2010"/>
      <c r="Q619" s="2010"/>
      <c r="R619" s="2012"/>
      <c r="S619" s="2013"/>
      <c r="T619" s="2013"/>
      <c r="U619" s="2014"/>
      <c r="V619" s="2015"/>
      <c r="Y619" s="1519"/>
      <c r="Z619" s="1519"/>
    </row>
    <row r="620" spans="1:26" s="407" customFormat="1" ht="12" customHeight="1" thickBot="1">
      <c r="A620" s="852" t="s">
        <v>574</v>
      </c>
      <c r="B620" s="853">
        <f>E622</f>
        <v>6962.6399999999976</v>
      </c>
      <c r="C620" s="29"/>
      <c r="D620" s="17" t="s">
        <v>577</v>
      </c>
      <c r="E620" s="13"/>
      <c r="G620" s="999"/>
      <c r="H620" s="998"/>
      <c r="I620" s="2010"/>
      <c r="J620" s="2010"/>
      <c r="K620" s="2010"/>
      <c r="L620" s="1538"/>
      <c r="M620" s="2010"/>
      <c r="N620" s="1121"/>
      <c r="O620" s="2011"/>
      <c r="P620" s="2010"/>
      <c r="Q620" s="2010"/>
      <c r="R620" s="2012"/>
      <c r="S620" s="2013"/>
      <c r="T620" s="2013"/>
      <c r="U620" s="2014"/>
      <c r="V620" s="2015"/>
      <c r="Y620" s="1519"/>
      <c r="Z620" s="1519"/>
    </row>
    <row r="621" spans="1:26" s="407" customFormat="1" ht="12" customHeight="1" thickBot="1">
      <c r="A621" s="510" t="s">
        <v>1534</v>
      </c>
      <c r="B621" s="854">
        <f>B616-B619-B620</f>
        <v>41869.86</v>
      </c>
      <c r="C621" s="29"/>
      <c r="D621" s="786" t="s">
        <v>578</v>
      </c>
      <c r="E621" s="541"/>
      <c r="G621" s="999"/>
      <c r="H621" s="998"/>
      <c r="I621" s="2010"/>
      <c r="J621" s="2010"/>
      <c r="K621" s="2010"/>
      <c r="L621" s="1538"/>
      <c r="M621" s="2010"/>
      <c r="N621" s="1121"/>
      <c r="O621" s="2011"/>
      <c r="P621" s="2010"/>
      <c r="Q621" s="2010"/>
      <c r="R621" s="2012"/>
      <c r="S621" s="2013"/>
      <c r="T621" s="2013"/>
      <c r="U621" s="2014"/>
      <c r="V621" s="2015"/>
      <c r="Y621" s="1519"/>
      <c r="Z621" s="1519"/>
    </row>
    <row r="622" spans="1:26" ht="12" customHeight="1" thickBot="1">
      <c r="A622" s="768" t="s">
        <v>466</v>
      </c>
      <c r="B622" s="800">
        <f>B621/12</f>
        <v>3489.1550000000002</v>
      </c>
      <c r="C622" s="29"/>
      <c r="D622" s="801" t="s">
        <v>585</v>
      </c>
      <c r="E622" s="855">
        <v>6962.6399999999976</v>
      </c>
      <c r="K622" s="15"/>
      <c r="N622" s="49"/>
      <c r="O622" s="1035"/>
      <c r="U622" s="1861"/>
    </row>
    <row r="623" spans="1:26" ht="12" customHeight="1">
      <c r="A623" s="10"/>
      <c r="C623" s="34"/>
      <c r="D623" s="34"/>
      <c r="K623" s="15"/>
      <c r="N623" s="49"/>
      <c r="O623" s="1035"/>
      <c r="U623" s="1861"/>
    </row>
    <row r="624" spans="1:26" ht="12" customHeight="1">
      <c r="A624" s="10"/>
      <c r="C624" s="34"/>
      <c r="D624" s="34"/>
      <c r="K624" s="15"/>
      <c r="L624" s="49" t="s">
        <v>3418</v>
      </c>
      <c r="N624" s="49"/>
      <c r="O624" s="1035"/>
      <c r="U624" s="1861"/>
    </row>
    <row r="625" spans="1:26" ht="12" customHeight="1">
      <c r="A625" s="10"/>
      <c r="C625" s="34"/>
      <c r="D625" s="34"/>
      <c r="K625" s="15"/>
      <c r="N625" s="49"/>
      <c r="O625" s="1454">
        <f>O629-U629+70+42</f>
        <v>1116.5</v>
      </c>
      <c r="Q625" s="439">
        <f>2480-620</f>
        <v>1860</v>
      </c>
      <c r="R625" s="439"/>
      <c r="S625" s="439"/>
      <c r="T625" s="439"/>
      <c r="U625" s="1895">
        <f>2480-620</f>
        <v>1860</v>
      </c>
      <c r="V625" s="86">
        <f>2480-620</f>
        <v>1860</v>
      </c>
    </row>
    <row r="626" spans="1:26" ht="12" customHeight="1">
      <c r="A626" s="10"/>
      <c r="C626" s="34"/>
      <c r="D626" s="34"/>
      <c r="K626" s="15"/>
      <c r="N626" s="49"/>
      <c r="O626" s="1035"/>
      <c r="U626" s="1861"/>
    </row>
    <row r="627" spans="1:26" ht="12" customHeight="1">
      <c r="A627" s="1002" t="s">
        <v>3211</v>
      </c>
      <c r="C627" s="34"/>
      <c r="D627" s="34"/>
      <c r="K627" s="15"/>
      <c r="N627" s="49"/>
      <c r="O627" s="1035"/>
      <c r="U627" s="1881"/>
    </row>
    <row r="628" spans="1:26" ht="12" customHeight="1">
      <c r="A628" s="1002"/>
      <c r="C628" s="34"/>
      <c r="D628" s="34"/>
      <c r="K628" s="15"/>
      <c r="N628" s="49"/>
      <c r="O628" s="1035"/>
      <c r="U628" s="1881"/>
    </row>
    <row r="629" spans="1:26" s="1418" customFormat="1" ht="10.199999999999999">
      <c r="A629" s="1418" t="s">
        <v>3220</v>
      </c>
      <c r="B629" s="1418" t="s">
        <v>3221</v>
      </c>
      <c r="C629" s="1419">
        <v>45017</v>
      </c>
      <c r="D629" s="1419">
        <v>45024</v>
      </c>
      <c r="E629" s="1455" t="s">
        <v>3222</v>
      </c>
      <c r="G629" s="1420" t="s">
        <v>3223</v>
      </c>
      <c r="H629" s="1418" t="s">
        <v>720</v>
      </c>
      <c r="I629" s="1418" t="s">
        <v>18</v>
      </c>
      <c r="J629" s="1418" t="s">
        <v>51</v>
      </c>
      <c r="K629" s="1418" t="s">
        <v>3225</v>
      </c>
      <c r="L629" s="1418" t="s">
        <v>3224</v>
      </c>
      <c r="N629" s="2005" t="s">
        <v>3226</v>
      </c>
      <c r="O629" s="1423">
        <f>1190+42+70</f>
        <v>1302</v>
      </c>
      <c r="Q629" s="1418" t="s">
        <v>3329</v>
      </c>
      <c r="R629" s="1420">
        <v>1</v>
      </c>
      <c r="S629" s="1420">
        <v>2</v>
      </c>
      <c r="T629" s="1420">
        <v>2</v>
      </c>
      <c r="U629" s="1896">
        <v>297.5</v>
      </c>
      <c r="V629" s="1425">
        <v>44837</v>
      </c>
      <c r="W629" s="1418" t="s">
        <v>3336</v>
      </c>
      <c r="X629" s="1418" t="s">
        <v>1154</v>
      </c>
      <c r="Y629" s="1509" t="s">
        <v>3346</v>
      </c>
      <c r="Z629" s="1509"/>
    </row>
    <row r="630" spans="1:26" s="115" customFormat="1" ht="10.199999999999999">
      <c r="A630" s="355" t="s">
        <v>3408</v>
      </c>
      <c r="B630" s="115" t="s">
        <v>682</v>
      </c>
      <c r="C630" s="116">
        <v>45024</v>
      </c>
      <c r="D630" s="116">
        <v>45031</v>
      </c>
      <c r="E630" s="364"/>
      <c r="G630" s="361"/>
      <c r="I630" s="115" t="s">
        <v>18</v>
      </c>
      <c r="J630" s="115" t="s">
        <v>51</v>
      </c>
      <c r="K630" s="115" t="s">
        <v>3409</v>
      </c>
      <c r="N630" s="128" t="s">
        <v>3407</v>
      </c>
      <c r="O630" s="118">
        <v>1190</v>
      </c>
      <c r="Q630" s="115" t="s">
        <v>717</v>
      </c>
      <c r="R630" s="361">
        <v>1</v>
      </c>
      <c r="S630" s="361">
        <v>2</v>
      </c>
      <c r="T630" s="361">
        <v>2</v>
      </c>
      <c r="U630" s="1428">
        <v>300</v>
      </c>
      <c r="V630" s="120">
        <v>44937</v>
      </c>
      <c r="W630" s="115" t="s">
        <v>1338</v>
      </c>
      <c r="X630" s="115" t="s">
        <v>1154</v>
      </c>
      <c r="Y630" s="1486" t="s">
        <v>3445</v>
      </c>
      <c r="Z630" s="1486"/>
    </row>
    <row r="631" spans="1:26" s="115" customFormat="1" ht="10.199999999999999">
      <c r="A631" s="355" t="s">
        <v>4085</v>
      </c>
      <c r="B631" s="115" t="s">
        <v>2366</v>
      </c>
      <c r="C631" s="116">
        <v>45031</v>
      </c>
      <c r="D631" s="116">
        <v>45045</v>
      </c>
      <c r="E631" s="115" t="s">
        <v>2367</v>
      </c>
      <c r="G631" s="361" t="s">
        <v>2368</v>
      </c>
      <c r="H631" s="115" t="s">
        <v>2369</v>
      </c>
      <c r="I631" s="115" t="s">
        <v>18</v>
      </c>
      <c r="J631" s="115" t="s">
        <v>51</v>
      </c>
      <c r="L631" s="124" t="s">
        <v>2370</v>
      </c>
      <c r="N631" s="128" t="s">
        <v>2371</v>
      </c>
      <c r="O631" s="118">
        <f>1190+1290</f>
        <v>2480</v>
      </c>
      <c r="Q631" s="115" t="s">
        <v>1025</v>
      </c>
      <c r="R631" s="361">
        <v>2</v>
      </c>
      <c r="S631" s="361">
        <v>2</v>
      </c>
      <c r="T631" s="361">
        <v>1</v>
      </c>
      <c r="U631" s="1428" t="s">
        <v>3426</v>
      </c>
      <c r="V631" s="120">
        <v>44941</v>
      </c>
      <c r="W631" s="115" t="s">
        <v>3410</v>
      </c>
      <c r="X631" s="115" t="s">
        <v>1154</v>
      </c>
      <c r="Y631" s="1486"/>
      <c r="Z631" s="1486"/>
    </row>
    <row r="632" spans="1:26" s="115" customFormat="1" ht="12" customHeight="1">
      <c r="A632" s="355" t="s">
        <v>2304</v>
      </c>
      <c r="B632" s="115" t="s">
        <v>1772</v>
      </c>
      <c r="C632" s="116">
        <v>45045</v>
      </c>
      <c r="D632" s="116">
        <v>45059</v>
      </c>
      <c r="E632" s="115" t="s">
        <v>2305</v>
      </c>
      <c r="G632" s="361" t="s">
        <v>2306</v>
      </c>
      <c r="H632" s="115" t="s">
        <v>2307</v>
      </c>
      <c r="I632" s="115" t="s">
        <v>18</v>
      </c>
      <c r="J632" s="115" t="s">
        <v>1023</v>
      </c>
      <c r="K632" s="115" t="s">
        <v>2309</v>
      </c>
      <c r="L632" s="115" t="s">
        <v>2308</v>
      </c>
      <c r="N632" s="128" t="s">
        <v>2310</v>
      </c>
      <c r="O632" s="1027">
        <f>1290*2</f>
        <v>2580</v>
      </c>
      <c r="Q632" s="355" t="s">
        <v>3195</v>
      </c>
      <c r="R632" s="682">
        <v>2</v>
      </c>
      <c r="S632" s="361">
        <v>3</v>
      </c>
      <c r="T632" s="361">
        <v>2</v>
      </c>
      <c r="U632" s="1428">
        <v>645</v>
      </c>
      <c r="V632" s="120" t="s">
        <v>3238</v>
      </c>
      <c r="Y632" s="1486" t="s">
        <v>3263</v>
      </c>
      <c r="Z632" s="1486"/>
    </row>
    <row r="633" spans="1:26" s="820" customFormat="1" ht="12" customHeight="1">
      <c r="A633" s="820" t="s">
        <v>3290</v>
      </c>
      <c r="B633" s="820" t="s">
        <v>24</v>
      </c>
      <c r="C633" s="821">
        <v>45066</v>
      </c>
      <c r="D633" s="821">
        <v>45073</v>
      </c>
      <c r="E633" s="820" t="s">
        <v>3291</v>
      </c>
      <c r="G633" s="822" t="s">
        <v>3292</v>
      </c>
      <c r="H633" s="820" t="s">
        <v>3293</v>
      </c>
      <c r="I633" s="820" t="s">
        <v>18</v>
      </c>
      <c r="J633" s="820" t="s">
        <v>3294</v>
      </c>
      <c r="K633" s="820" t="s">
        <v>3296</v>
      </c>
      <c r="L633" s="820" t="s">
        <v>3295</v>
      </c>
      <c r="N633" s="823" t="s">
        <v>3297</v>
      </c>
      <c r="O633" s="1026">
        <f>350+1152</f>
        <v>1502</v>
      </c>
      <c r="Q633" s="820" t="s">
        <v>3298</v>
      </c>
      <c r="R633" s="885">
        <v>1</v>
      </c>
      <c r="S633" s="822">
        <v>4</v>
      </c>
      <c r="T633" s="822">
        <v>2</v>
      </c>
      <c r="U633" s="1897">
        <v>350</v>
      </c>
      <c r="V633" s="825">
        <v>44745</v>
      </c>
      <c r="W633" s="820" t="s">
        <v>1477</v>
      </c>
      <c r="X633" s="820" t="s">
        <v>1154</v>
      </c>
      <c r="Y633" s="1512" t="s">
        <v>3304</v>
      </c>
      <c r="Z633" s="1512"/>
    </row>
    <row r="634" spans="1:26" s="355" customFormat="1" ht="12" customHeight="1">
      <c r="A634" s="355" t="s">
        <v>3273</v>
      </c>
      <c r="B634" s="355" t="s">
        <v>3274</v>
      </c>
      <c r="C634" s="357">
        <v>45073</v>
      </c>
      <c r="D634" s="357">
        <v>45094</v>
      </c>
      <c r="E634" s="355" t="s">
        <v>3275</v>
      </c>
      <c r="G634" s="358" t="s">
        <v>3276</v>
      </c>
      <c r="H634" s="355" t="s">
        <v>3277</v>
      </c>
      <c r="I634" s="355" t="s">
        <v>168</v>
      </c>
      <c r="J634" s="355" t="s">
        <v>1023</v>
      </c>
      <c r="K634" s="355" t="s">
        <v>3500</v>
      </c>
      <c r="L634" s="355" t="s">
        <v>3278</v>
      </c>
      <c r="N634" s="365" t="s">
        <v>3279</v>
      </c>
      <c r="O634" s="1036">
        <f>1390+1590+1590+70</f>
        <v>4640</v>
      </c>
      <c r="P634" s="355" t="s">
        <v>3280</v>
      </c>
      <c r="Q634" s="355" t="s">
        <v>3499</v>
      </c>
      <c r="R634" s="891">
        <v>3</v>
      </c>
      <c r="S634" s="358">
        <v>2</v>
      </c>
      <c r="T634" s="358">
        <v>1</v>
      </c>
      <c r="U634" s="1866">
        <f>4570/4</f>
        <v>1142.5</v>
      </c>
      <c r="V634" s="360">
        <v>45095</v>
      </c>
      <c r="W634" s="355" t="s">
        <v>1338</v>
      </c>
      <c r="X634" s="355" t="s">
        <v>1154</v>
      </c>
      <c r="Y634" s="1487"/>
      <c r="Z634" s="1487"/>
    </row>
    <row r="635" spans="1:26" s="1069" customFormat="1" ht="12" customHeight="1">
      <c r="A635" s="1462" t="s">
        <v>3313</v>
      </c>
      <c r="B635" s="1069" t="s">
        <v>3314</v>
      </c>
      <c r="C635" s="1070">
        <v>45094</v>
      </c>
      <c r="D635" s="1070">
        <v>45108</v>
      </c>
      <c r="E635" s="1069" t="s">
        <v>3315</v>
      </c>
      <c r="G635" s="1071" t="s">
        <v>3316</v>
      </c>
      <c r="H635" s="1069" t="s">
        <v>3317</v>
      </c>
      <c r="I635" s="1069" t="s">
        <v>18</v>
      </c>
      <c r="J635" s="1069" t="s">
        <v>51</v>
      </c>
      <c r="K635" s="1072" t="s">
        <v>3321</v>
      </c>
      <c r="L635" s="1069" t="s">
        <v>3318</v>
      </c>
      <c r="N635" s="365" t="s">
        <v>3319</v>
      </c>
      <c r="O635" s="1074">
        <f>1990+2190+3*14*4+70</f>
        <v>4418</v>
      </c>
      <c r="Q635" s="1069" t="s">
        <v>3524</v>
      </c>
      <c r="R635" s="1075">
        <v>2</v>
      </c>
      <c r="S635" s="1071">
        <v>2</v>
      </c>
      <c r="T635" s="1071">
        <v>4</v>
      </c>
      <c r="U635" s="1883">
        <v>1348</v>
      </c>
      <c r="V635" s="1176">
        <v>44784</v>
      </c>
      <c r="W635" s="1069" t="s">
        <v>1477</v>
      </c>
      <c r="X635" s="1069" t="s">
        <v>1154</v>
      </c>
      <c r="Y635" s="1504" t="s">
        <v>3323</v>
      </c>
      <c r="Z635" s="1504"/>
    </row>
    <row r="636" spans="1:26" s="923" customFormat="1" ht="12" customHeight="1">
      <c r="A636" s="1194" t="s">
        <v>3417</v>
      </c>
      <c r="B636" s="923" t="s">
        <v>528</v>
      </c>
      <c r="C636" s="924">
        <v>45108</v>
      </c>
      <c r="D636" s="924">
        <v>45115</v>
      </c>
      <c r="E636" s="923" t="s">
        <v>3422</v>
      </c>
      <c r="G636" s="925" t="s">
        <v>3423</v>
      </c>
      <c r="H636" s="923" t="s">
        <v>937</v>
      </c>
      <c r="I636" s="923" t="s">
        <v>18</v>
      </c>
      <c r="K636" s="926"/>
      <c r="L636" s="923" t="s">
        <v>3420</v>
      </c>
      <c r="N636" s="128" t="s">
        <v>3419</v>
      </c>
      <c r="O636" s="1195">
        <f>625+1956</f>
        <v>2581</v>
      </c>
      <c r="Q636" s="923" t="s">
        <v>1244</v>
      </c>
      <c r="R636" s="1196">
        <v>1</v>
      </c>
      <c r="S636" s="925" t="s">
        <v>3424</v>
      </c>
      <c r="T636" s="925">
        <v>1</v>
      </c>
      <c r="U636" s="1427" t="s">
        <v>3425</v>
      </c>
      <c r="V636" s="929">
        <v>44941</v>
      </c>
      <c r="W636" s="923" t="s">
        <v>1338</v>
      </c>
      <c r="X636" s="923" t="s">
        <v>1154</v>
      </c>
      <c r="Y636" s="1496"/>
      <c r="Z636" s="1496"/>
    </row>
    <row r="637" spans="1:26" s="1431" customFormat="1" ht="12" customHeight="1">
      <c r="A637" s="1430" t="s">
        <v>3401</v>
      </c>
      <c r="B637" s="1431" t="s">
        <v>3402</v>
      </c>
      <c r="C637" s="1432">
        <v>45122</v>
      </c>
      <c r="D637" s="1432">
        <v>45129</v>
      </c>
      <c r="G637" s="1433"/>
      <c r="I637" s="1431" t="s">
        <v>18</v>
      </c>
      <c r="J637" s="1431" t="s">
        <v>51</v>
      </c>
      <c r="K637" s="1434"/>
      <c r="L637" s="1431" t="s">
        <v>3403</v>
      </c>
      <c r="N637" s="2006" t="s">
        <v>3404</v>
      </c>
      <c r="O637" s="1435"/>
      <c r="Q637" s="1431" t="s">
        <v>3405</v>
      </c>
      <c r="R637" s="1436"/>
      <c r="S637" s="1433">
        <v>3</v>
      </c>
      <c r="T637" s="1433">
        <v>1</v>
      </c>
      <c r="U637" s="1898"/>
      <c r="V637" s="1606" t="s">
        <v>3406</v>
      </c>
      <c r="W637" s="1431" t="s">
        <v>1338</v>
      </c>
      <c r="X637" s="1431" t="s">
        <v>1154</v>
      </c>
      <c r="Y637" s="2166"/>
      <c r="Z637" s="2166"/>
    </row>
    <row r="638" spans="1:26" s="1470" customFormat="1" ht="12" customHeight="1">
      <c r="A638" s="1469" t="s">
        <v>3525</v>
      </c>
      <c r="B638" s="1470" t="s">
        <v>344</v>
      </c>
      <c r="C638" s="1471">
        <v>45115</v>
      </c>
      <c r="D638" s="1471">
        <v>45122</v>
      </c>
      <c r="E638" s="1470" t="s">
        <v>3539</v>
      </c>
      <c r="G638" s="1472" t="s">
        <v>3540</v>
      </c>
      <c r="H638" s="1470" t="s">
        <v>3541</v>
      </c>
      <c r="I638" s="1470" t="s">
        <v>18</v>
      </c>
      <c r="K638" s="1473"/>
      <c r="L638" s="1470" t="s">
        <v>3542</v>
      </c>
      <c r="N638" s="823" t="s">
        <v>3538</v>
      </c>
      <c r="O638" s="1474">
        <v>1990</v>
      </c>
      <c r="Q638" s="1470">
        <v>2</v>
      </c>
      <c r="R638" s="1475">
        <v>1</v>
      </c>
      <c r="S638" s="1472">
        <v>2</v>
      </c>
      <c r="T638" s="1472">
        <v>1</v>
      </c>
      <c r="U638" s="1899">
        <v>497.5</v>
      </c>
      <c r="V638" s="1607">
        <v>45090</v>
      </c>
      <c r="X638" s="1470" t="s">
        <v>1217</v>
      </c>
      <c r="Y638" s="2167" t="s">
        <v>3532</v>
      </c>
      <c r="Z638" s="2167"/>
    </row>
    <row r="639" spans="1:26" s="923" customFormat="1" ht="12" customHeight="1">
      <c r="A639" s="1194" t="s">
        <v>3485</v>
      </c>
      <c r="B639" s="923" t="s">
        <v>2777</v>
      </c>
      <c r="C639" s="924">
        <v>45122</v>
      </c>
      <c r="D639" s="924">
        <v>45129</v>
      </c>
      <c r="G639" s="925" t="s">
        <v>3486</v>
      </c>
      <c r="H639" s="923" t="s">
        <v>2474</v>
      </c>
      <c r="I639" s="923" t="s">
        <v>18</v>
      </c>
      <c r="J639" s="923" t="s">
        <v>51</v>
      </c>
      <c r="K639" s="926"/>
      <c r="L639" s="923" t="s">
        <v>3487</v>
      </c>
      <c r="N639" s="128" t="s">
        <v>3488</v>
      </c>
      <c r="O639" s="1195">
        <v>2490</v>
      </c>
      <c r="Q639" s="923" t="s">
        <v>3489</v>
      </c>
      <c r="R639" s="1196">
        <v>1</v>
      </c>
      <c r="S639" s="925">
        <v>6</v>
      </c>
      <c r="T639" s="925">
        <v>2</v>
      </c>
      <c r="U639" s="1427">
        <v>1000</v>
      </c>
      <c r="V639" s="929">
        <v>45034</v>
      </c>
      <c r="W639" s="923" t="s">
        <v>1338</v>
      </c>
      <c r="X639" s="923" t="s">
        <v>1154</v>
      </c>
      <c r="Y639" s="1496" t="s">
        <v>3490</v>
      </c>
      <c r="Z639" s="1496"/>
    </row>
    <row r="640" spans="1:26" s="1090" customFormat="1" ht="12" customHeight="1">
      <c r="A640" s="1463" t="s">
        <v>3520</v>
      </c>
      <c r="B640" s="1090" t="s">
        <v>528</v>
      </c>
      <c r="C640" s="1091">
        <v>45129</v>
      </c>
      <c r="D640" s="1091">
        <v>45143</v>
      </c>
      <c r="E640" s="1090" t="s">
        <v>3382</v>
      </c>
      <c r="G640" s="1092" t="s">
        <v>3383</v>
      </c>
      <c r="H640" s="1090" t="s">
        <v>3384</v>
      </c>
      <c r="J640" s="1090" t="s">
        <v>51</v>
      </c>
      <c r="K640" s="1093"/>
      <c r="L640" s="979" t="s">
        <v>3385</v>
      </c>
      <c r="N640" s="1115" t="s">
        <v>3386</v>
      </c>
      <c r="O640" s="1094">
        <f>2490*2+3*4*14+70</f>
        <v>5218</v>
      </c>
      <c r="Q640" s="1090" t="s">
        <v>3387</v>
      </c>
      <c r="R640" s="1095">
        <v>2</v>
      </c>
      <c r="S640" s="1092">
        <v>3</v>
      </c>
      <c r="T640" s="1092">
        <v>5</v>
      </c>
      <c r="U640" s="1884">
        <f>1245+3973</f>
        <v>5218</v>
      </c>
      <c r="V640" s="1603">
        <v>44923</v>
      </c>
      <c r="W640" s="1090" t="s">
        <v>1477</v>
      </c>
      <c r="X640" s="1090" t="s">
        <v>1154</v>
      </c>
      <c r="Y640" s="2163" t="s">
        <v>3399</v>
      </c>
      <c r="Z640" s="2163"/>
    </row>
    <row r="641" spans="1:26" s="1470" customFormat="1" ht="12" customHeight="1">
      <c r="A641" s="1477" t="s">
        <v>3388</v>
      </c>
      <c r="B641" s="1471" t="s">
        <v>3389</v>
      </c>
      <c r="C641" s="1471">
        <v>45143</v>
      </c>
      <c r="D641" s="1471">
        <v>45150</v>
      </c>
      <c r="E641" s="1470" t="s">
        <v>3390</v>
      </c>
      <c r="G641" s="1472" t="s">
        <v>3391</v>
      </c>
      <c r="H641" s="1470" t="s">
        <v>3392</v>
      </c>
      <c r="I641" s="1470" t="s">
        <v>1775</v>
      </c>
      <c r="J641" s="1470" t="s">
        <v>51</v>
      </c>
      <c r="K641" s="1473"/>
      <c r="L641" s="1520" t="s">
        <v>3393</v>
      </c>
      <c r="N641" s="823" t="s">
        <v>3395</v>
      </c>
      <c r="O641" s="1474">
        <f>623+1958</f>
        <v>2581</v>
      </c>
      <c r="Q641" s="1470" t="s">
        <v>3394</v>
      </c>
      <c r="R641" s="1475">
        <v>1</v>
      </c>
      <c r="S641" s="1472">
        <v>44717</v>
      </c>
      <c r="T641" s="1472">
        <v>1</v>
      </c>
      <c r="U641" s="1899">
        <v>623</v>
      </c>
      <c r="V641" s="1607">
        <v>44925</v>
      </c>
      <c r="W641" s="1470" t="s">
        <v>1477</v>
      </c>
      <c r="X641" s="1470" t="s">
        <v>1154</v>
      </c>
      <c r="Y641" s="2167" t="s">
        <v>3397</v>
      </c>
      <c r="Z641" s="2167"/>
    </row>
    <row r="642" spans="1:26" s="820" customFormat="1" ht="12" customHeight="1">
      <c r="A642" s="1482" t="s">
        <v>3213</v>
      </c>
      <c r="B642" s="820" t="s">
        <v>652</v>
      </c>
      <c r="C642" s="821">
        <v>45150</v>
      </c>
      <c r="D642" s="821">
        <v>45164</v>
      </c>
      <c r="E642" s="820" t="s">
        <v>3214</v>
      </c>
      <c r="G642" s="822" t="s">
        <v>3215</v>
      </c>
      <c r="H642" s="820" t="s">
        <v>3216</v>
      </c>
      <c r="I642" s="820" t="s">
        <v>1775</v>
      </c>
      <c r="J642" s="820" t="s">
        <v>51</v>
      </c>
      <c r="K642" s="1483"/>
      <c r="L642" s="820" t="s">
        <v>3217</v>
      </c>
      <c r="N642" s="823" t="s">
        <v>3218</v>
      </c>
      <c r="O642" s="1484">
        <f>2490*2</f>
        <v>4980</v>
      </c>
      <c r="P642" s="820" t="s">
        <v>2674</v>
      </c>
      <c r="R642" s="885">
        <v>2</v>
      </c>
      <c r="S642" s="822">
        <v>2</v>
      </c>
      <c r="T642" s="822">
        <v>1</v>
      </c>
      <c r="U642" s="1900">
        <v>1245</v>
      </c>
      <c r="V642" s="825">
        <v>44686</v>
      </c>
      <c r="W642" s="820" t="s">
        <v>3219</v>
      </c>
      <c r="X642" s="820" t="s">
        <v>1154</v>
      </c>
      <c r="Y642" s="1512" t="s">
        <v>3281</v>
      </c>
      <c r="Z642" s="1512"/>
    </row>
    <row r="643" spans="1:26" s="355" customFormat="1" ht="12" customHeight="1">
      <c r="A643" s="509" t="s">
        <v>3283</v>
      </c>
      <c r="B643" s="355" t="s">
        <v>3573</v>
      </c>
      <c r="C643" s="357">
        <v>45164</v>
      </c>
      <c r="D643" s="357">
        <v>45178</v>
      </c>
      <c r="E643" s="355" t="s">
        <v>3285</v>
      </c>
      <c r="G643" s="358" t="s">
        <v>3286</v>
      </c>
      <c r="H643" s="355" t="s">
        <v>3287</v>
      </c>
      <c r="I643" s="355" t="s">
        <v>18</v>
      </c>
      <c r="J643" s="355" t="s">
        <v>1023</v>
      </c>
      <c r="K643" s="368"/>
      <c r="L643" s="355" t="s">
        <v>3288</v>
      </c>
      <c r="N643" s="365" t="s">
        <v>3289</v>
      </c>
      <c r="O643" s="1514">
        <f>2190+1990</f>
        <v>4180</v>
      </c>
      <c r="R643" s="891">
        <v>2</v>
      </c>
      <c r="S643" s="358">
        <v>2</v>
      </c>
      <c r="T643" s="358">
        <v>2</v>
      </c>
      <c r="U643" s="1901">
        <v>1045</v>
      </c>
      <c r="V643" s="360">
        <v>44741</v>
      </c>
      <c r="W643" s="355" t="s">
        <v>1477</v>
      </c>
      <c r="X643" s="355" t="s">
        <v>1154</v>
      </c>
      <c r="Y643" s="1487" t="s">
        <v>3603</v>
      </c>
      <c r="Z643" s="1487"/>
    </row>
    <row r="644" spans="1:26" s="820" customFormat="1" ht="12" customHeight="1">
      <c r="B644" s="820" t="s">
        <v>3633</v>
      </c>
      <c r="C644" s="821">
        <v>45178</v>
      </c>
      <c r="D644" s="821">
        <v>45199</v>
      </c>
      <c r="G644" s="822"/>
      <c r="I644" s="820" t="s">
        <v>18</v>
      </c>
      <c r="J644" s="820" t="s">
        <v>51</v>
      </c>
      <c r="K644" s="820" t="s">
        <v>3630</v>
      </c>
      <c r="L644" s="820" t="s">
        <v>3327</v>
      </c>
      <c r="N644" s="823" t="s">
        <v>3632</v>
      </c>
      <c r="O644" s="1484"/>
      <c r="R644" s="885"/>
      <c r="S644" s="822"/>
      <c r="T644" s="822"/>
      <c r="U644" s="1902"/>
      <c r="V644" s="825"/>
      <c r="Y644" s="1512"/>
      <c r="Z644" s="1512"/>
    </row>
    <row r="645" spans="1:26" s="820" customFormat="1" ht="12" customHeight="1">
      <c r="A645" s="820" t="s">
        <v>3553</v>
      </c>
      <c r="B645" s="820" t="s">
        <v>3325</v>
      </c>
      <c r="C645" s="821">
        <v>45178</v>
      </c>
      <c r="D645" s="821">
        <v>45199</v>
      </c>
      <c r="G645" s="822"/>
      <c r="I645" s="820" t="s">
        <v>18</v>
      </c>
      <c r="J645" s="820" t="s">
        <v>51</v>
      </c>
      <c r="K645" s="820" t="s">
        <v>3630</v>
      </c>
      <c r="L645" s="820" t="s">
        <v>3327</v>
      </c>
      <c r="N645" s="823" t="s">
        <v>3326</v>
      </c>
      <c r="O645" s="1026">
        <f>1990+1590+1590+70+2*3*20</f>
        <v>5360</v>
      </c>
      <c r="R645" s="885">
        <v>3</v>
      </c>
      <c r="S645" s="822">
        <v>2</v>
      </c>
      <c r="T645" s="822">
        <v>2</v>
      </c>
      <c r="U645" s="1516">
        <v>1292.5</v>
      </c>
      <c r="V645" s="825">
        <v>44794</v>
      </c>
      <c r="W645" s="820" t="s">
        <v>3219</v>
      </c>
      <c r="X645" s="820" t="s">
        <v>1154</v>
      </c>
      <c r="Y645" s="1512"/>
      <c r="Z645" s="1512"/>
    </row>
    <row r="646" spans="1:26" s="820" customFormat="1" ht="12" customHeight="1">
      <c r="A646" s="820" t="s">
        <v>2416</v>
      </c>
      <c r="B646" s="820" t="s">
        <v>2417</v>
      </c>
      <c r="C646" s="821">
        <v>45199</v>
      </c>
      <c r="D646" s="821">
        <v>45220</v>
      </c>
      <c r="E646" s="820" t="s">
        <v>2418</v>
      </c>
      <c r="G646" s="822" t="s">
        <v>2419</v>
      </c>
      <c r="H646" s="1520" t="s">
        <v>2420</v>
      </c>
      <c r="I646" s="820" t="s">
        <v>168</v>
      </c>
      <c r="J646" s="820" t="s">
        <v>1023</v>
      </c>
      <c r="K646" s="820" t="s">
        <v>2421</v>
      </c>
      <c r="L646" s="1483" t="s">
        <v>2422</v>
      </c>
      <c r="N646" s="823" t="s">
        <v>2423</v>
      </c>
      <c r="O646" s="1026">
        <f>1290*3+70</f>
        <v>3940</v>
      </c>
      <c r="R646" s="885">
        <v>3</v>
      </c>
      <c r="S646" s="822">
        <v>2</v>
      </c>
      <c r="T646" s="822">
        <v>1</v>
      </c>
      <c r="U646" s="1897">
        <v>967.5</v>
      </c>
      <c r="V646" s="825">
        <v>44844</v>
      </c>
      <c r="W646" s="820" t="s">
        <v>3337</v>
      </c>
      <c r="X646" s="820" t="s">
        <v>1154</v>
      </c>
      <c r="Y646" s="1512" t="s">
        <v>3350</v>
      </c>
      <c r="Z646" s="1512"/>
    </row>
    <row r="647" spans="1:26" s="820" customFormat="1" ht="12" customHeight="1">
      <c r="A647" s="820" t="s">
        <v>3455</v>
      </c>
      <c r="B647" s="820" t="s">
        <v>3454</v>
      </c>
      <c r="C647" s="821">
        <v>45220</v>
      </c>
      <c r="D647" s="821">
        <v>45227</v>
      </c>
      <c r="E647" s="820" t="s">
        <v>3456</v>
      </c>
      <c r="G647" s="822" t="s">
        <v>3457</v>
      </c>
      <c r="H647" s="820" t="s">
        <v>3458</v>
      </c>
      <c r="I647" s="820" t="s">
        <v>944</v>
      </c>
      <c r="J647" s="820" t="s">
        <v>51</v>
      </c>
      <c r="L647" s="820" t="s">
        <v>3459</v>
      </c>
      <c r="N647" s="823" t="s">
        <v>3644</v>
      </c>
      <c r="O647" s="1026">
        <f>323+970</f>
        <v>1293</v>
      </c>
      <c r="Q647" s="820" t="s">
        <v>3460</v>
      </c>
      <c r="R647" s="885">
        <v>1</v>
      </c>
      <c r="S647" s="822">
        <v>3</v>
      </c>
      <c r="T647" s="822">
        <v>2</v>
      </c>
      <c r="U647" s="1597">
        <v>323</v>
      </c>
      <c r="V647" s="825">
        <v>44995</v>
      </c>
      <c r="X647" s="820" t="s">
        <v>1154</v>
      </c>
      <c r="Y647" s="1512"/>
      <c r="Z647" s="1512"/>
    </row>
    <row r="648" spans="1:26" s="820" customFormat="1" ht="12" customHeight="1">
      <c r="A648" s="1482" t="s">
        <v>504</v>
      </c>
      <c r="B648" s="820" t="s">
        <v>98</v>
      </c>
      <c r="C648" s="821">
        <v>45236</v>
      </c>
      <c r="D648" s="821">
        <v>45243</v>
      </c>
      <c r="E648" s="820" t="s">
        <v>505</v>
      </c>
      <c r="G648" s="822">
        <v>78200</v>
      </c>
      <c r="H648" s="820" t="s">
        <v>506</v>
      </c>
      <c r="I648" s="820" t="s">
        <v>23</v>
      </c>
      <c r="J648" s="820" t="s">
        <v>19</v>
      </c>
      <c r="K648" s="820" t="s">
        <v>507</v>
      </c>
      <c r="L648" s="820" t="s">
        <v>508</v>
      </c>
      <c r="N648" s="823"/>
      <c r="O648" s="1026">
        <f>1090+70</f>
        <v>1160</v>
      </c>
      <c r="Q648" s="820" t="s">
        <v>3652</v>
      </c>
      <c r="R648" s="885">
        <v>1</v>
      </c>
      <c r="S648" s="822">
        <v>2</v>
      </c>
      <c r="T648" s="822" t="s">
        <v>509</v>
      </c>
      <c r="U648" s="1903"/>
      <c r="V648" s="825">
        <v>45227</v>
      </c>
      <c r="W648" s="820" t="s">
        <v>3653</v>
      </c>
      <c r="Y648" s="1512"/>
      <c r="Z648" s="1512"/>
    </row>
    <row r="649" spans="1:26" s="820" customFormat="1" ht="12" customHeight="1">
      <c r="A649" s="820" t="s">
        <v>3533</v>
      </c>
      <c r="B649" s="820" t="s">
        <v>3534</v>
      </c>
      <c r="C649" s="821">
        <v>45269</v>
      </c>
      <c r="D649" s="821">
        <v>45276</v>
      </c>
      <c r="E649" s="820" t="s">
        <v>3535</v>
      </c>
      <c r="G649" s="822" t="s">
        <v>3536</v>
      </c>
      <c r="I649" s="820" t="s">
        <v>23</v>
      </c>
      <c r="J649" s="820" t="s">
        <v>19</v>
      </c>
      <c r="L649" s="820" t="s">
        <v>3714</v>
      </c>
      <c r="N649" s="823" t="s">
        <v>3537</v>
      </c>
      <c r="O649" s="1026">
        <f>1090+21+70</f>
        <v>1181</v>
      </c>
      <c r="Q649" s="820" t="s">
        <v>2674</v>
      </c>
      <c r="R649" s="885">
        <v>1</v>
      </c>
      <c r="S649" s="822">
        <v>2</v>
      </c>
      <c r="T649" s="822">
        <v>1</v>
      </c>
      <c r="U649" s="1597">
        <v>273</v>
      </c>
      <c r="V649" s="825">
        <v>45104</v>
      </c>
      <c r="W649" s="820" t="s">
        <v>1665</v>
      </c>
      <c r="X649" s="820" t="s">
        <v>1154</v>
      </c>
      <c r="Y649" s="1512"/>
      <c r="Z649" s="1512"/>
    </row>
    <row r="650" spans="1:26" s="820" customFormat="1" ht="12" customHeight="1">
      <c r="A650" s="820" t="s">
        <v>2406</v>
      </c>
      <c r="B650" s="820" t="s">
        <v>2407</v>
      </c>
      <c r="C650" s="821">
        <v>45290</v>
      </c>
      <c r="D650" s="821">
        <v>44932</v>
      </c>
      <c r="E650" s="820" t="s">
        <v>2408</v>
      </c>
      <c r="G650" s="822" t="s">
        <v>2409</v>
      </c>
      <c r="H650" s="820" t="s">
        <v>2410</v>
      </c>
      <c r="I650" s="820" t="s">
        <v>18</v>
      </c>
      <c r="J650" s="820" t="s">
        <v>51</v>
      </c>
      <c r="K650" s="820" t="s">
        <v>2412</v>
      </c>
      <c r="L650" s="820" t="s">
        <v>2413</v>
      </c>
      <c r="N650" s="823" t="s">
        <v>2414</v>
      </c>
      <c r="O650" s="1026">
        <f>1290+184+70+72</f>
        <v>1616</v>
      </c>
      <c r="Q650" s="820" t="s">
        <v>3330</v>
      </c>
      <c r="R650" s="885">
        <v>1</v>
      </c>
      <c r="S650" s="822">
        <v>2</v>
      </c>
      <c r="T650" s="822">
        <v>3</v>
      </c>
      <c r="U650" s="1897">
        <f>1290/4</f>
        <v>322.5</v>
      </c>
      <c r="V650" s="825">
        <v>44923</v>
      </c>
      <c r="W650" s="820" t="s">
        <v>3328</v>
      </c>
      <c r="X650" s="820" t="s">
        <v>1154</v>
      </c>
      <c r="Y650" s="1512" t="s">
        <v>3396</v>
      </c>
      <c r="Z650" s="1512"/>
    </row>
    <row r="651" spans="1:26" ht="12" customHeight="1">
      <c r="L651" s="1103"/>
      <c r="N651" s="1103"/>
      <c r="O651" s="1596"/>
      <c r="U651" s="1904"/>
    </row>
    <row r="652" spans="1:26" s="407" customFormat="1" ht="12" customHeight="1" thickBot="1">
      <c r="C652" s="997"/>
      <c r="D652" s="997"/>
      <c r="E652" s="998"/>
      <c r="G652" s="999"/>
      <c r="H652" s="998"/>
      <c r="I652" s="2010"/>
      <c r="J652" s="2010"/>
      <c r="K652" s="2010"/>
      <c r="L652" s="1538"/>
      <c r="M652" s="2010"/>
      <c r="N652" s="1121"/>
      <c r="O652" s="2011"/>
      <c r="P652" s="2010"/>
      <c r="Q652" s="2010"/>
      <c r="R652" s="2012"/>
      <c r="S652" s="2013"/>
      <c r="T652" s="2013"/>
      <c r="U652" s="2016"/>
      <c r="V652" s="2015"/>
      <c r="Y652" s="1519"/>
      <c r="Z652" s="1519"/>
    </row>
    <row r="653" spans="1:26" s="407" customFormat="1" ht="12" customHeight="1" thickBot="1">
      <c r="A653" s="18" t="s">
        <v>3212</v>
      </c>
      <c r="B653" s="1050">
        <f>SUM(O627:O653)</f>
        <v>56682</v>
      </c>
      <c r="C653" s="826">
        <f>B653/B616</f>
        <v>1.1607433573951773</v>
      </c>
      <c r="D653" s="1579" t="s">
        <v>3775</v>
      </c>
      <c r="E653" s="917">
        <f>SUM(E654:E664)</f>
        <v>11114.19</v>
      </c>
      <c r="G653" s="999"/>
      <c r="H653" s="998"/>
      <c r="I653" s="2010"/>
      <c r="J653" s="2010"/>
      <c r="K653" s="2010"/>
      <c r="L653" s="1538"/>
      <c r="M653" s="2010"/>
      <c r="N653" s="1121"/>
      <c r="O653" s="2011"/>
      <c r="P653" s="2010"/>
      <c r="Q653" s="2010"/>
      <c r="R653" s="2012"/>
      <c r="S653" s="2013"/>
      <c r="T653" s="2013"/>
      <c r="U653" s="2016"/>
      <c r="V653" s="2015"/>
      <c r="Y653" s="1519"/>
      <c r="Z653" s="1519"/>
    </row>
    <row r="654" spans="1:26" s="407" customFormat="1" ht="12" customHeight="1" thickBot="1">
      <c r="A654" s="768" t="s">
        <v>463</v>
      </c>
      <c r="B654" s="827">
        <f>SUM(R627:R653)</f>
        <v>32</v>
      </c>
      <c r="C654" s="1576">
        <f>B653/B654</f>
        <v>1771.3125</v>
      </c>
      <c r="D654" s="1580" t="s">
        <v>575</v>
      </c>
      <c r="E654" s="1127">
        <v>190.71</v>
      </c>
      <c r="G654" s="999"/>
      <c r="H654" s="371"/>
      <c r="I654" s="2010"/>
      <c r="J654" s="2010"/>
      <c r="K654" s="2010"/>
      <c r="L654" s="1538"/>
      <c r="M654" s="2010"/>
      <c r="N654" s="1121"/>
      <c r="O654" s="2011"/>
      <c r="P654" s="2010"/>
      <c r="Q654" s="2010"/>
      <c r="R654" s="2012"/>
      <c r="S654" s="2013"/>
      <c r="T654" s="2013"/>
      <c r="U654" s="2016"/>
      <c r="V654" s="2015"/>
      <c r="Y654" s="1519"/>
      <c r="Z654" s="1519"/>
    </row>
    <row r="655" spans="1:26" s="407" customFormat="1" ht="12" customHeight="1" thickBot="1">
      <c r="A655" s="7"/>
      <c r="B655" s="7"/>
      <c r="C655" s="29"/>
      <c r="D655" s="1580" t="s">
        <v>576</v>
      </c>
      <c r="E655" s="1127">
        <v>1382.46</v>
      </c>
      <c r="G655" s="999"/>
      <c r="H655" s="998"/>
      <c r="I655" s="2010"/>
      <c r="J655" s="2010"/>
      <c r="K655" s="2017">
        <f>5200/52</f>
        <v>100</v>
      </c>
      <c r="L655" s="1538"/>
      <c r="M655" s="2010"/>
      <c r="N655" s="1121"/>
      <c r="O655" s="2011">
        <f>(O647+O649+O650)*0.75</f>
        <v>3067.5</v>
      </c>
      <c r="P655" s="2010"/>
      <c r="Q655" s="2010"/>
      <c r="R655" s="2012"/>
      <c r="S655" s="2013"/>
      <c r="T655" s="2013"/>
      <c r="U655" s="2016"/>
      <c r="V655" s="2015"/>
      <c r="Y655" s="1519"/>
      <c r="Z655" s="1519"/>
    </row>
    <row r="656" spans="1:26" s="407" customFormat="1" ht="12" customHeight="1" thickBot="1">
      <c r="A656" s="18" t="s">
        <v>464</v>
      </c>
      <c r="B656" s="917">
        <v>0</v>
      </c>
      <c r="C656" s="29"/>
      <c r="D656" s="1580" t="s">
        <v>3780</v>
      </c>
      <c r="E656" s="1578">
        <v>1500</v>
      </c>
      <c r="G656" s="999"/>
      <c r="H656" s="998"/>
      <c r="I656" s="2010"/>
      <c r="J656" s="2010"/>
      <c r="K656" s="2018">
        <f>(600/43200)*11400</f>
        <v>158.33333333333331</v>
      </c>
      <c r="L656" s="1538"/>
      <c r="M656" s="2010"/>
      <c r="N656" s="1121"/>
      <c r="O656" s="2011"/>
      <c r="P656" s="2010"/>
      <c r="Q656" s="2010"/>
      <c r="R656" s="2012"/>
      <c r="S656" s="2013"/>
      <c r="T656" s="2013"/>
      <c r="U656" s="2016"/>
      <c r="V656" s="2015"/>
      <c r="Y656" s="1519"/>
      <c r="Z656" s="1519"/>
    </row>
    <row r="657" spans="1:26" s="407" customFormat="1" ht="12" customHeight="1" thickBot="1">
      <c r="A657" s="852" t="s">
        <v>574</v>
      </c>
      <c r="B657" s="853">
        <f>E653</f>
        <v>11114.19</v>
      </c>
      <c r="C657" s="29"/>
      <c r="D657" s="1580" t="s">
        <v>577</v>
      </c>
      <c r="E657" s="1127">
        <v>851</v>
      </c>
      <c r="G657" s="999"/>
      <c r="H657" s="998"/>
      <c r="I657" s="2010"/>
      <c r="J657" s="2010"/>
      <c r="K657" s="2018">
        <f>43200/600</f>
        <v>72</v>
      </c>
      <c r="L657" s="1538"/>
      <c r="M657" s="2010"/>
      <c r="N657" s="1121"/>
      <c r="O657" s="2019"/>
      <c r="P657" s="2010"/>
      <c r="Q657" s="2010"/>
      <c r="R657" s="2012"/>
      <c r="S657" s="2013"/>
      <c r="T657" s="2013"/>
      <c r="U657" s="2016"/>
      <c r="V657" s="2015"/>
      <c r="Y657" s="1519"/>
      <c r="Z657" s="1519"/>
    </row>
    <row r="658" spans="1:26" s="407" customFormat="1" ht="12" customHeight="1">
      <c r="A658" s="510" t="s">
        <v>1534</v>
      </c>
      <c r="B658" s="854">
        <f>B653-B656-B657</f>
        <v>45567.81</v>
      </c>
      <c r="C658" s="29"/>
      <c r="D658" s="1580" t="s">
        <v>3360</v>
      </c>
      <c r="E658" s="1127">
        <v>802</v>
      </c>
      <c r="G658" s="999"/>
      <c r="H658" s="998"/>
      <c r="I658" s="2010"/>
      <c r="J658" s="2010"/>
      <c r="K658" s="2018">
        <f>43200/600</f>
        <v>72</v>
      </c>
      <c r="L658" s="1538"/>
      <c r="M658" s="2010"/>
      <c r="N658" s="1121"/>
      <c r="O658" s="2011"/>
      <c r="P658" s="2010"/>
      <c r="Q658" s="2010"/>
      <c r="R658" s="2012"/>
      <c r="S658" s="2013"/>
      <c r="T658" s="2013"/>
      <c r="U658" s="2016"/>
      <c r="V658" s="2015"/>
      <c r="Y658" s="1519"/>
      <c r="Z658" s="1519"/>
    </row>
    <row r="659" spans="1:26" ht="12" customHeight="1" thickBot="1">
      <c r="A659" s="768" t="s">
        <v>466</v>
      </c>
      <c r="B659" s="800">
        <f>B658/12</f>
        <v>3797.3174999999997</v>
      </c>
      <c r="C659" s="29"/>
      <c r="D659" s="1581" t="s">
        <v>3551</v>
      </c>
      <c r="E659" s="1127">
        <v>1500</v>
      </c>
      <c r="K659" s="2018">
        <f>43200/600</f>
        <v>72</v>
      </c>
      <c r="L659" s="439">
        <f>4367.5+U645</f>
        <v>5660</v>
      </c>
      <c r="N659" s="49"/>
      <c r="O659" s="1035"/>
      <c r="Q659" s="8" t="s">
        <v>3262</v>
      </c>
      <c r="U659" s="1905"/>
    </row>
    <row r="660" spans="1:26" ht="12" customHeight="1">
      <c r="A660" s="10"/>
      <c r="C660" s="34"/>
      <c r="D660" s="1580" t="s">
        <v>2525</v>
      </c>
      <c r="E660" s="1127">
        <v>260</v>
      </c>
      <c r="K660" s="2018">
        <f>43200/600</f>
        <v>72</v>
      </c>
      <c r="N660" s="49"/>
      <c r="O660" s="1035"/>
      <c r="U660" s="1905"/>
    </row>
    <row r="661" spans="1:26" ht="12" customHeight="1">
      <c r="A661" s="10"/>
      <c r="C661" s="34"/>
      <c r="D661" s="1581" t="s">
        <v>3777</v>
      </c>
      <c r="E661" s="1127">
        <f>833.8/2</f>
        <v>416.9</v>
      </c>
      <c r="K661" s="15"/>
      <c r="N661" s="49"/>
      <c r="O661" s="1035"/>
      <c r="U661" s="1861"/>
    </row>
    <row r="662" spans="1:26" ht="12" customHeight="1">
      <c r="A662" s="10"/>
      <c r="C662" s="34"/>
      <c r="D662" s="1581" t="s">
        <v>3776</v>
      </c>
      <c r="E662" s="1127">
        <v>383.76</v>
      </c>
      <c r="K662" s="15"/>
      <c r="N662" s="49"/>
      <c r="O662" s="1035"/>
      <c r="U662" s="1861"/>
    </row>
    <row r="663" spans="1:26" ht="12" customHeight="1">
      <c r="A663" s="10"/>
      <c r="C663" s="34"/>
      <c r="D663" s="1581" t="s">
        <v>3778</v>
      </c>
      <c r="E663" s="1127">
        <f>7000/2</f>
        <v>3500</v>
      </c>
      <c r="K663" s="15"/>
      <c r="N663" s="49"/>
      <c r="O663" s="1035"/>
      <c r="U663" s="1861"/>
    </row>
    <row r="664" spans="1:26" ht="12" customHeight="1" thickBot="1">
      <c r="A664" s="10"/>
      <c r="C664" s="34"/>
      <c r="D664" s="1582" t="s">
        <v>3255</v>
      </c>
      <c r="E664" s="1226">
        <v>327.36</v>
      </c>
      <c r="K664" s="15"/>
      <c r="N664" s="49"/>
      <c r="O664" s="1035"/>
      <c r="U664" s="1861"/>
    </row>
    <row r="665" spans="1:26" ht="12" customHeight="1">
      <c r="A665" s="10"/>
      <c r="C665" s="34"/>
      <c r="D665" s="439" t="s">
        <v>3936</v>
      </c>
      <c r="E665" s="132"/>
      <c r="K665" s="15"/>
      <c r="N665" s="49"/>
      <c r="O665" s="1035"/>
      <c r="U665" s="1861"/>
    </row>
    <row r="666" spans="1:26" ht="12" customHeight="1">
      <c r="A666" s="1002" t="s">
        <v>3468</v>
      </c>
      <c r="C666" s="34"/>
      <c r="D666" s="34"/>
      <c r="K666" s="15"/>
      <c r="N666" s="49"/>
      <c r="O666" s="1035"/>
      <c r="U666" s="1881"/>
    </row>
    <row r="667" spans="1:26" ht="12" customHeight="1">
      <c r="A667" s="870"/>
      <c r="C667" s="34"/>
      <c r="D667" s="34"/>
      <c r="K667" s="15"/>
      <c r="N667" s="49"/>
      <c r="O667" s="1035"/>
      <c r="U667" s="1906"/>
    </row>
    <row r="668" spans="1:26" ht="12" customHeight="1">
      <c r="A668" s="870"/>
      <c r="C668" s="34"/>
      <c r="D668" s="34"/>
      <c r="K668" s="15"/>
      <c r="N668" s="49"/>
      <c r="O668" s="1035"/>
      <c r="U668" s="1906"/>
    </row>
    <row r="669" spans="1:26" s="498" customFormat="1" ht="12" customHeight="1">
      <c r="A669" s="1615" t="s">
        <v>3782</v>
      </c>
      <c r="B669" s="498" t="s">
        <v>3783</v>
      </c>
      <c r="C669" s="499">
        <v>45374</v>
      </c>
      <c r="D669" s="499">
        <v>45381</v>
      </c>
      <c r="E669" s="498" t="s">
        <v>3784</v>
      </c>
      <c r="G669" s="500" t="s">
        <v>3785</v>
      </c>
      <c r="H669" s="498" t="s">
        <v>3786</v>
      </c>
      <c r="I669" s="498" t="s">
        <v>3787</v>
      </c>
      <c r="J669" s="498" t="s">
        <v>19</v>
      </c>
      <c r="K669" s="688" t="s">
        <v>3788</v>
      </c>
      <c r="L669" s="498" t="s">
        <v>3789</v>
      </c>
      <c r="N669" s="868" t="s">
        <v>3790</v>
      </c>
      <c r="O669" s="1040">
        <f>1090+42+70</f>
        <v>1202</v>
      </c>
      <c r="Q669" s="498" t="s">
        <v>3460</v>
      </c>
      <c r="R669" s="894">
        <v>1</v>
      </c>
      <c r="S669" s="500">
        <v>3</v>
      </c>
      <c r="T669" s="500">
        <v>2</v>
      </c>
      <c r="U669" s="1907" t="s">
        <v>3809</v>
      </c>
      <c r="V669" s="504">
        <v>45287</v>
      </c>
      <c r="W669" s="498" t="s">
        <v>1769</v>
      </c>
      <c r="X669" s="498" t="s">
        <v>1154</v>
      </c>
      <c r="Y669" s="1490"/>
      <c r="Z669" s="1490"/>
    </row>
    <row r="670" spans="1:26" s="498" customFormat="1" ht="12" customHeight="1">
      <c r="A670" s="1615" t="s">
        <v>3835</v>
      </c>
      <c r="B670" s="498" t="s">
        <v>3836</v>
      </c>
      <c r="C670" s="499">
        <v>45381</v>
      </c>
      <c r="D670" s="499">
        <v>45388</v>
      </c>
      <c r="E670" s="498" t="s">
        <v>3837</v>
      </c>
      <c r="G670" s="500" t="s">
        <v>3838</v>
      </c>
      <c r="H670" s="498" t="s">
        <v>3839</v>
      </c>
      <c r="I670" s="498" t="s">
        <v>3787</v>
      </c>
      <c r="J670" s="498" t="s">
        <v>51</v>
      </c>
      <c r="K670" s="688" t="s">
        <v>3840</v>
      </c>
      <c r="L670" s="498" t="s">
        <v>3841</v>
      </c>
      <c r="N670" s="868" t="s">
        <v>3949</v>
      </c>
      <c r="O670" s="1040">
        <f>1190+70+42</f>
        <v>1302</v>
      </c>
      <c r="Q670" s="1618" t="s">
        <v>3460</v>
      </c>
      <c r="R670" s="894">
        <v>1</v>
      </c>
      <c r="S670" s="500">
        <v>2</v>
      </c>
      <c r="T670" s="500">
        <v>2</v>
      </c>
      <c r="U670" s="1907" t="s">
        <v>3850</v>
      </c>
      <c r="V670" s="504">
        <v>45301</v>
      </c>
      <c r="W670" s="498" t="s">
        <v>1769</v>
      </c>
      <c r="X670" s="498" t="s">
        <v>1154</v>
      </c>
      <c r="Y670" s="1490"/>
      <c r="Z670" s="1490"/>
    </row>
    <row r="671" spans="1:26" s="498" customFormat="1" ht="12" customHeight="1">
      <c r="A671" s="1615" t="s">
        <v>3873</v>
      </c>
      <c r="B671" s="498" t="s">
        <v>1089</v>
      </c>
      <c r="C671" s="499">
        <v>45388</v>
      </c>
      <c r="D671" s="499">
        <v>45395</v>
      </c>
      <c r="E671" s="498" t="s">
        <v>3874</v>
      </c>
      <c r="G671" s="500" t="s">
        <v>1115</v>
      </c>
      <c r="H671" s="498" t="s">
        <v>1116</v>
      </c>
      <c r="I671" s="498" t="s">
        <v>3787</v>
      </c>
      <c r="J671" s="498" t="s">
        <v>51</v>
      </c>
      <c r="K671" s="688"/>
      <c r="L671" s="498" t="s">
        <v>3875</v>
      </c>
      <c r="N671" s="868" t="s">
        <v>3950</v>
      </c>
      <c r="O671" s="1040">
        <f>1190+70+42</f>
        <v>1302</v>
      </c>
      <c r="Q671" s="498" t="s">
        <v>3094</v>
      </c>
      <c r="R671" s="894">
        <v>1</v>
      </c>
      <c r="S671" s="500">
        <v>4</v>
      </c>
      <c r="T671" s="500">
        <v>2</v>
      </c>
      <c r="U671" s="1907">
        <v>350</v>
      </c>
      <c r="V671" s="504">
        <v>45322</v>
      </c>
      <c r="W671" s="498" t="s">
        <v>1769</v>
      </c>
      <c r="X671" s="498" t="s">
        <v>1154</v>
      </c>
      <c r="Y671" s="1490"/>
      <c r="Z671" s="1490"/>
    </row>
    <row r="672" spans="1:26" s="498" customFormat="1" ht="12" customHeight="1">
      <c r="A672" s="1615" t="s">
        <v>3973</v>
      </c>
      <c r="C672" s="499"/>
      <c r="D672" s="499">
        <v>45390</v>
      </c>
      <c r="G672" s="500"/>
      <c r="K672" s="688"/>
      <c r="N672" s="868"/>
      <c r="O672" s="1040">
        <v>18000</v>
      </c>
      <c r="R672" s="894"/>
      <c r="S672" s="500"/>
      <c r="T672" s="500"/>
      <c r="U672" s="1907"/>
      <c r="V672" s="504"/>
      <c r="Y672" s="1490"/>
      <c r="Z672" s="1490"/>
    </row>
    <row r="673" spans="1:26" s="498" customFormat="1" ht="12" customHeight="1">
      <c r="A673" s="1617" t="s">
        <v>3940</v>
      </c>
      <c r="B673" s="1617" t="s">
        <v>11</v>
      </c>
      <c r="C673" s="499">
        <v>45036</v>
      </c>
      <c r="D673" s="499">
        <v>45043</v>
      </c>
      <c r="E673" s="498" t="s">
        <v>3941</v>
      </c>
      <c r="G673" s="500" t="s">
        <v>3943</v>
      </c>
      <c r="H673" s="498" t="s">
        <v>3942</v>
      </c>
      <c r="I673" s="498" t="s">
        <v>18</v>
      </c>
      <c r="J673" s="498" t="s">
        <v>51</v>
      </c>
      <c r="N673" s="868" t="s">
        <v>3944</v>
      </c>
      <c r="O673" s="1040">
        <v>1390</v>
      </c>
      <c r="Q673" s="498" t="s">
        <v>3945</v>
      </c>
      <c r="R673" s="894">
        <v>1</v>
      </c>
      <c r="S673" s="500">
        <v>1</v>
      </c>
      <c r="T673" s="500">
        <v>3</v>
      </c>
      <c r="U673" s="1879" t="s">
        <v>3946</v>
      </c>
      <c r="V673" s="504">
        <v>45357</v>
      </c>
      <c r="W673" s="498" t="s">
        <v>1769</v>
      </c>
      <c r="X673" s="498" t="s">
        <v>1154</v>
      </c>
      <c r="Y673" s="1490"/>
      <c r="Z673" s="1490"/>
    </row>
    <row r="674" spans="1:26" s="498" customFormat="1" ht="12" customHeight="1">
      <c r="A674" s="498" t="s">
        <v>3503</v>
      </c>
      <c r="B674" s="498" t="s">
        <v>3502</v>
      </c>
      <c r="C674" s="499">
        <v>45409</v>
      </c>
      <c r="D674" s="499">
        <v>45423</v>
      </c>
      <c r="E674" s="498" t="s">
        <v>3501</v>
      </c>
      <c r="G674" s="500" t="s">
        <v>3505</v>
      </c>
      <c r="H674" s="498" t="s">
        <v>3504</v>
      </c>
      <c r="I674" s="498" t="s">
        <v>18</v>
      </c>
      <c r="J674" s="498" t="s">
        <v>51</v>
      </c>
      <c r="L674" s="498" t="s">
        <v>3506</v>
      </c>
      <c r="N674" s="868" t="s">
        <v>3507</v>
      </c>
      <c r="O674" s="1040">
        <f>645+2089</f>
        <v>2734</v>
      </c>
      <c r="Q674" s="498" t="s">
        <v>4005</v>
      </c>
      <c r="R674" s="894">
        <v>2</v>
      </c>
      <c r="S674" s="500">
        <v>2</v>
      </c>
      <c r="T674" s="500">
        <v>2</v>
      </c>
      <c r="U674" s="1879">
        <f>2580/4</f>
        <v>645</v>
      </c>
      <c r="V674" s="504">
        <v>45060</v>
      </c>
      <c r="W674" s="498" t="s">
        <v>1813</v>
      </c>
      <c r="X674" s="498" t="s">
        <v>1154</v>
      </c>
      <c r="Y674" s="1490" t="s">
        <v>3515</v>
      </c>
      <c r="Z674" s="1490"/>
    </row>
    <row r="675" spans="1:26" s="1003" customFormat="1" ht="12" customHeight="1">
      <c r="A675" s="1003" t="s">
        <v>3491</v>
      </c>
      <c r="B675" s="1003" t="s">
        <v>3492</v>
      </c>
      <c r="C675" s="1004">
        <v>45423</v>
      </c>
      <c r="D675" s="1004">
        <v>45437</v>
      </c>
      <c r="E675" s="1003" t="s">
        <v>3493</v>
      </c>
      <c r="G675" s="1005" t="s">
        <v>3494</v>
      </c>
      <c r="H675" s="1003" t="s">
        <v>3495</v>
      </c>
      <c r="I675" s="1003" t="s">
        <v>18</v>
      </c>
      <c r="J675" s="1003" t="s">
        <v>51</v>
      </c>
      <c r="K675" s="1003" t="s">
        <v>3496</v>
      </c>
      <c r="L675" s="1003" t="s">
        <v>3497</v>
      </c>
      <c r="N675" s="1007" t="s">
        <v>3498</v>
      </c>
      <c r="O675" s="1192">
        <v>695</v>
      </c>
      <c r="Q675" s="1003" t="s">
        <v>3963</v>
      </c>
      <c r="R675" s="1193">
        <v>0</v>
      </c>
      <c r="S675" s="1005">
        <v>2</v>
      </c>
      <c r="T675" s="1005">
        <v>1</v>
      </c>
      <c r="U675" s="1891">
        <v>695</v>
      </c>
      <c r="V675" s="1010">
        <v>45050</v>
      </c>
      <c r="W675" s="1003" t="s">
        <v>1813</v>
      </c>
      <c r="X675" s="1003" t="s">
        <v>1154</v>
      </c>
      <c r="Y675" s="1499" t="s">
        <v>3516</v>
      </c>
      <c r="Z675" s="1499"/>
    </row>
    <row r="676" spans="1:26" s="1069" customFormat="1" ht="12" customHeight="1">
      <c r="A676" s="1462" t="s">
        <v>3528</v>
      </c>
      <c r="B676" s="1069" t="s">
        <v>3527</v>
      </c>
      <c r="C676" s="1070">
        <v>45437</v>
      </c>
      <c r="D676" s="1070">
        <v>45451</v>
      </c>
      <c r="E676" s="432" t="s">
        <v>3529</v>
      </c>
      <c r="G676" s="1071"/>
      <c r="I676" s="1069" t="s">
        <v>18</v>
      </c>
      <c r="J676" s="1069" t="s">
        <v>51</v>
      </c>
      <c r="K676" s="1072"/>
      <c r="L676" s="1069" t="s">
        <v>3530</v>
      </c>
      <c r="N676" s="365" t="s">
        <v>3526</v>
      </c>
      <c r="O676" s="1074">
        <f>3280+70+2*3*14</f>
        <v>3434</v>
      </c>
      <c r="Q676" s="1069" t="s">
        <v>3587</v>
      </c>
      <c r="R676" s="1075">
        <v>2</v>
      </c>
      <c r="S676" s="1071">
        <v>3</v>
      </c>
      <c r="T676" s="1071">
        <v>3</v>
      </c>
      <c r="U676" s="1883">
        <v>820</v>
      </c>
      <c r="V676" s="1176">
        <v>45092</v>
      </c>
      <c r="W676" s="1069" t="s">
        <v>1477</v>
      </c>
      <c r="X676" s="1069" t="s">
        <v>1154</v>
      </c>
      <c r="Y676" s="1504" t="s">
        <v>3531</v>
      </c>
      <c r="Z676" s="1504"/>
    </row>
    <row r="677" spans="1:26" s="1787" customFormat="1" ht="12" customHeight="1">
      <c r="A677" s="1786" t="s">
        <v>3580</v>
      </c>
      <c r="B677" s="1787" t="s">
        <v>3581</v>
      </c>
      <c r="C677" s="1788">
        <v>45451</v>
      </c>
      <c r="D677" s="1788">
        <v>45465</v>
      </c>
      <c r="E677" s="1787" t="s">
        <v>3582</v>
      </c>
      <c r="G677" s="1789" t="s">
        <v>3583</v>
      </c>
      <c r="H677" s="1787" t="s">
        <v>2768</v>
      </c>
      <c r="I677" s="1787" t="s">
        <v>18</v>
      </c>
      <c r="J677" s="1787" t="s">
        <v>51</v>
      </c>
      <c r="K677" s="1790" t="s">
        <v>3584</v>
      </c>
      <c r="L677" s="1787" t="s">
        <v>3585</v>
      </c>
      <c r="N677" s="868" t="s">
        <v>3586</v>
      </c>
      <c r="O677" s="1791">
        <f>1690+1990+70+84+300-300</f>
        <v>3834</v>
      </c>
      <c r="Q677" s="1787" t="s">
        <v>4011</v>
      </c>
      <c r="R677" s="1792">
        <v>2</v>
      </c>
      <c r="S677" s="1789">
        <v>4</v>
      </c>
      <c r="T677" s="1789">
        <v>2</v>
      </c>
      <c r="U677" s="1793" t="s">
        <v>3591</v>
      </c>
      <c r="V677" s="1794"/>
      <c r="W677" s="1787" t="s">
        <v>1338</v>
      </c>
      <c r="X677" s="1787" t="s">
        <v>1154</v>
      </c>
      <c r="Y677" s="1921"/>
      <c r="Z677" s="1921"/>
    </row>
    <row r="678" spans="1:26" s="1787" customFormat="1" ht="12" customHeight="1">
      <c r="A678" s="1786" t="s">
        <v>103</v>
      </c>
      <c r="B678" s="1787" t="s">
        <v>4012</v>
      </c>
      <c r="C678" s="1788">
        <v>45465</v>
      </c>
      <c r="D678" s="1788">
        <v>45479</v>
      </c>
      <c r="E678" s="1787" t="s">
        <v>4013</v>
      </c>
      <c r="G678" s="1789" t="s">
        <v>4014</v>
      </c>
      <c r="H678" s="1787" t="s">
        <v>4015</v>
      </c>
      <c r="I678" s="1787" t="s">
        <v>23</v>
      </c>
      <c r="J678" s="1787" t="s">
        <v>19</v>
      </c>
      <c r="K678" s="1790"/>
      <c r="L678" s="1787" t="s">
        <v>4016</v>
      </c>
      <c r="N678" s="868" t="s">
        <v>4017</v>
      </c>
      <c r="O678" s="1791">
        <f>(1990+2490)*0.9+70</f>
        <v>4102</v>
      </c>
      <c r="Q678" s="1787" t="s">
        <v>1192</v>
      </c>
      <c r="R678" s="1792">
        <v>2</v>
      </c>
      <c r="S678" s="1789">
        <v>2</v>
      </c>
      <c r="T678" s="1789">
        <v>2</v>
      </c>
      <c r="U678" s="1793" t="s">
        <v>4037</v>
      </c>
      <c r="V678" s="1794">
        <v>45422</v>
      </c>
      <c r="W678" s="1787" t="s">
        <v>4018</v>
      </c>
      <c r="X678" s="1787" t="s">
        <v>1217</v>
      </c>
      <c r="Y678" s="1921"/>
      <c r="Z678" s="1921"/>
    </row>
    <row r="679" spans="1:26" s="1620" customFormat="1" ht="12" customHeight="1">
      <c r="A679" s="1619" t="s">
        <v>3592</v>
      </c>
      <c r="B679" s="1620" t="s">
        <v>4052</v>
      </c>
      <c r="C679" s="1621">
        <v>45465</v>
      </c>
      <c r="D679" s="1621">
        <v>45479</v>
      </c>
      <c r="E679" s="1620" t="s">
        <v>3594</v>
      </c>
      <c r="G679" s="1622" t="s">
        <v>3595</v>
      </c>
      <c r="H679" s="1620" t="s">
        <v>3596</v>
      </c>
      <c r="I679" s="1620" t="s">
        <v>18</v>
      </c>
      <c r="J679" s="1620" t="s">
        <v>51</v>
      </c>
      <c r="K679" s="1623" t="s">
        <v>3597</v>
      </c>
      <c r="N679" s="1007" t="s">
        <v>3598</v>
      </c>
      <c r="O679" s="1624">
        <v>1120</v>
      </c>
      <c r="Q679" s="1620" t="s">
        <v>3972</v>
      </c>
      <c r="R679" s="1625">
        <v>0</v>
      </c>
      <c r="S679" s="1622">
        <v>4</v>
      </c>
      <c r="T679" s="1622">
        <v>1</v>
      </c>
      <c r="U679" s="1626">
        <v>1120</v>
      </c>
      <c r="V679" s="1627">
        <v>45172</v>
      </c>
      <c r="W679" s="1620" t="s">
        <v>1665</v>
      </c>
      <c r="X679" s="1620" t="s">
        <v>1154</v>
      </c>
      <c r="Y679" s="2168"/>
      <c r="Z679" s="2168"/>
    </row>
    <row r="680" spans="1:26" s="355" customFormat="1" ht="12" customHeight="1">
      <c r="A680" s="1913" t="s">
        <v>3919</v>
      </c>
      <c r="B680" s="355" t="s">
        <v>3920</v>
      </c>
      <c r="C680" s="357">
        <v>45479</v>
      </c>
      <c r="D680" s="357">
        <v>45493</v>
      </c>
      <c r="E680" s="1913" t="s">
        <v>3918</v>
      </c>
      <c r="G680" s="358" t="s">
        <v>3922</v>
      </c>
      <c r="H680" s="1913" t="s">
        <v>3921</v>
      </c>
      <c r="I680" s="355" t="s">
        <v>18</v>
      </c>
      <c r="J680" s="355" t="s">
        <v>51</v>
      </c>
      <c r="K680" s="368"/>
      <c r="L680" s="355" t="s">
        <v>3923</v>
      </c>
      <c r="N680" s="365" t="s">
        <v>3939</v>
      </c>
      <c r="O680" s="1036">
        <f>2490*2+70+84</f>
        <v>5134</v>
      </c>
      <c r="Q680" s="355" t="s">
        <v>4067</v>
      </c>
      <c r="R680" s="891">
        <v>2</v>
      </c>
      <c r="S680" s="358">
        <v>4</v>
      </c>
      <c r="T680" s="358">
        <v>2</v>
      </c>
      <c r="U680" s="1914">
        <v>1245</v>
      </c>
      <c r="V680" s="360">
        <v>45346</v>
      </c>
      <c r="W680" s="355" t="s">
        <v>1477</v>
      </c>
      <c r="X680" s="355" t="s">
        <v>1154</v>
      </c>
      <c r="Y680" s="1487"/>
      <c r="Z680" s="1487"/>
    </row>
    <row r="681" spans="1:26" s="1787" customFormat="1" ht="12" customHeight="1">
      <c r="A681" s="1786" t="s">
        <v>3876</v>
      </c>
      <c r="B681" s="1787" t="s">
        <v>693</v>
      </c>
      <c r="C681" s="1788">
        <v>45493</v>
      </c>
      <c r="D681" s="1788">
        <v>45500</v>
      </c>
      <c r="E681" s="1787" t="s">
        <v>3877</v>
      </c>
      <c r="G681" s="1789" t="s">
        <v>3878</v>
      </c>
      <c r="H681" s="1787" t="s">
        <v>3879</v>
      </c>
      <c r="I681" s="1787" t="s">
        <v>168</v>
      </c>
      <c r="J681" s="1787" t="s">
        <v>51</v>
      </c>
      <c r="K681" s="1790"/>
      <c r="L681" s="1787" t="s">
        <v>3880</v>
      </c>
      <c r="N681" s="868" t="s">
        <v>3881</v>
      </c>
      <c r="O681" s="1791">
        <f>2490+70+21</f>
        <v>2581</v>
      </c>
      <c r="Q681" s="1787" t="s">
        <v>3882</v>
      </c>
      <c r="R681" s="1792">
        <v>1</v>
      </c>
      <c r="S681" s="1789">
        <v>5</v>
      </c>
      <c r="T681" s="1789">
        <v>1</v>
      </c>
      <c r="U681" s="1793" t="s">
        <v>3883</v>
      </c>
      <c r="V681" s="1794">
        <v>45324</v>
      </c>
      <c r="W681" s="1787" t="s">
        <v>1813</v>
      </c>
      <c r="X681" s="1787" t="s">
        <v>1154</v>
      </c>
      <c r="Y681" s="1921"/>
      <c r="Z681" s="1921"/>
    </row>
    <row r="682" spans="1:26" s="498" customFormat="1" ht="12" customHeight="1">
      <c r="A682" s="1911" t="s">
        <v>3555</v>
      </c>
      <c r="B682" s="498" t="s">
        <v>264</v>
      </c>
      <c r="C682" s="499">
        <v>45500</v>
      </c>
      <c r="D682" s="499">
        <v>45514</v>
      </c>
      <c r="E682" s="498" t="s">
        <v>3556</v>
      </c>
      <c r="G682" s="500" t="s">
        <v>3557</v>
      </c>
      <c r="H682" s="498" t="s">
        <v>3558</v>
      </c>
      <c r="I682" s="498" t="s">
        <v>18</v>
      </c>
      <c r="J682" s="498" t="s">
        <v>1023</v>
      </c>
      <c r="K682" s="688" t="s">
        <v>3559</v>
      </c>
      <c r="L682" s="498" t="s">
        <v>3560</v>
      </c>
      <c r="N682" s="868" t="s">
        <v>3561</v>
      </c>
      <c r="O682" s="1040">
        <f>2490*2+70+2*3*14</f>
        <v>5134</v>
      </c>
      <c r="Q682" s="498" t="s">
        <v>4061</v>
      </c>
      <c r="R682" s="894">
        <v>2</v>
      </c>
      <c r="S682" s="500">
        <v>4</v>
      </c>
      <c r="T682" s="500">
        <v>2</v>
      </c>
      <c r="U682" s="1912">
        <v>1245</v>
      </c>
      <c r="V682" s="504">
        <v>45525</v>
      </c>
      <c r="W682" s="498" t="s">
        <v>1477</v>
      </c>
      <c r="X682" s="498" t="s">
        <v>1154</v>
      </c>
      <c r="Y682" s="1490" t="s">
        <v>3905</v>
      </c>
      <c r="Z682" s="1490"/>
    </row>
    <row r="683" spans="1:26" s="1787" customFormat="1" ht="12" customHeight="1">
      <c r="A683" s="1786" t="s">
        <v>3127</v>
      </c>
      <c r="B683" s="1787" t="s">
        <v>3897</v>
      </c>
      <c r="C683" s="1788">
        <v>45514</v>
      </c>
      <c r="D683" s="1788">
        <v>45528</v>
      </c>
      <c r="E683" s="1787" t="s">
        <v>3898</v>
      </c>
      <c r="G683" s="1789" t="s">
        <v>3899</v>
      </c>
      <c r="H683" s="1787" t="s">
        <v>3900</v>
      </c>
      <c r="I683" s="1787" t="s">
        <v>18</v>
      </c>
      <c r="J683" s="1787" t="s">
        <v>51</v>
      </c>
      <c r="K683" s="1790"/>
      <c r="L683" s="1787" t="s">
        <v>3901</v>
      </c>
      <c r="N683" s="868" t="s">
        <v>3902</v>
      </c>
      <c r="O683" s="1791">
        <f>1245+3805</f>
        <v>5050</v>
      </c>
      <c r="Q683" s="1787" t="s">
        <v>4086</v>
      </c>
      <c r="R683" s="1792">
        <v>2</v>
      </c>
      <c r="S683" s="1789">
        <v>4</v>
      </c>
      <c r="T683" s="1789">
        <v>1</v>
      </c>
      <c r="U683" s="1917">
        <f>O683/4</f>
        <v>1262.5</v>
      </c>
      <c r="V683" s="1794">
        <v>45338</v>
      </c>
      <c r="W683" s="1787" t="s">
        <v>3904</v>
      </c>
      <c r="X683" s="1787" t="s">
        <v>1154</v>
      </c>
      <c r="Y683" s="1921"/>
      <c r="Z683" s="1921"/>
    </row>
    <row r="684" spans="1:26" s="1787" customFormat="1" ht="12" customHeight="1">
      <c r="A684" s="1918" t="s">
        <v>3989</v>
      </c>
      <c r="B684" s="1787" t="s">
        <v>3990</v>
      </c>
      <c r="C684" s="1788">
        <v>45528</v>
      </c>
      <c r="D684" s="1788">
        <v>45535</v>
      </c>
      <c r="E684" s="1787" t="s">
        <v>3991</v>
      </c>
      <c r="G684" s="1789" t="s">
        <v>3992</v>
      </c>
      <c r="H684" s="1787" t="s">
        <v>3995</v>
      </c>
      <c r="I684" s="1787" t="s">
        <v>18</v>
      </c>
      <c r="J684" s="1787" t="s">
        <v>51</v>
      </c>
      <c r="K684" s="1790"/>
      <c r="L684" s="1787" t="s">
        <v>3993</v>
      </c>
      <c r="N684" s="868" t="s">
        <v>3994</v>
      </c>
      <c r="O684" s="1791">
        <f>2490+42+70+25</f>
        <v>2627</v>
      </c>
      <c r="Q684" s="1787" t="s">
        <v>3996</v>
      </c>
      <c r="R684" s="1792">
        <v>1</v>
      </c>
      <c r="S684" s="1789">
        <v>3</v>
      </c>
      <c r="T684" s="1789">
        <v>2</v>
      </c>
      <c r="U684" s="1919" t="s">
        <v>4004</v>
      </c>
      <c r="V684" s="1794">
        <v>45390</v>
      </c>
      <c r="W684" s="1787" t="s">
        <v>1477</v>
      </c>
      <c r="X684" s="1787" t="s">
        <v>1154</v>
      </c>
      <c r="Y684" s="1921"/>
      <c r="Z684" s="1921"/>
    </row>
    <row r="685" spans="1:26" s="498" customFormat="1" ht="12" customHeight="1">
      <c r="A685" s="498" t="s">
        <v>2406</v>
      </c>
      <c r="B685" s="498" t="s">
        <v>2407</v>
      </c>
      <c r="C685" s="499">
        <v>45535</v>
      </c>
      <c r="D685" s="499">
        <v>45549</v>
      </c>
      <c r="E685" s="498" t="s">
        <v>2408</v>
      </c>
      <c r="G685" s="500" t="s">
        <v>2409</v>
      </c>
      <c r="H685" s="498" t="s">
        <v>2410</v>
      </c>
      <c r="I685" s="498" t="s">
        <v>18</v>
      </c>
      <c r="J685" s="498" t="s">
        <v>51</v>
      </c>
      <c r="K685" s="498" t="s">
        <v>2412</v>
      </c>
      <c r="L685" s="498" t="s">
        <v>2413</v>
      </c>
      <c r="N685" s="868" t="s">
        <v>2414</v>
      </c>
      <c r="O685" s="1040">
        <f>1070+3236</f>
        <v>4306</v>
      </c>
      <c r="Q685" s="498" t="s">
        <v>3521</v>
      </c>
      <c r="R685" s="894">
        <v>2</v>
      </c>
      <c r="S685" s="500">
        <v>2</v>
      </c>
      <c r="T685" s="500">
        <v>3</v>
      </c>
      <c r="U685" s="1879">
        <v>1070</v>
      </c>
      <c r="V685" s="504">
        <v>45081</v>
      </c>
      <c r="W685" s="498" t="s">
        <v>3522</v>
      </c>
      <c r="X685" s="498" t="s">
        <v>1154</v>
      </c>
      <c r="Y685" s="1490" t="s">
        <v>3523</v>
      </c>
      <c r="Z685" s="1490"/>
    </row>
    <row r="686" spans="1:26" s="498" customFormat="1" ht="12" customHeight="1">
      <c r="A686" s="498" t="s">
        <v>4068</v>
      </c>
      <c r="B686" s="498" t="s">
        <v>2481</v>
      </c>
      <c r="C686" s="499">
        <v>45549</v>
      </c>
      <c r="D686" s="499">
        <v>45556</v>
      </c>
      <c r="E686" s="498" t="s">
        <v>4069</v>
      </c>
      <c r="G686" s="500" t="s">
        <v>4070</v>
      </c>
      <c r="H686" s="498" t="s">
        <v>4071</v>
      </c>
      <c r="I686" s="498" t="s">
        <v>18</v>
      </c>
      <c r="J686" s="498" t="s">
        <v>51</v>
      </c>
      <c r="L686" s="498" t="s">
        <v>4072</v>
      </c>
      <c r="N686" s="868" t="s">
        <v>4073</v>
      </c>
      <c r="O686" s="1040">
        <f>497.5+1492.5+70+300+42</f>
        <v>2402</v>
      </c>
      <c r="Q686" s="498" t="s">
        <v>4118</v>
      </c>
      <c r="R686" s="894">
        <v>1</v>
      </c>
      <c r="S686" s="500">
        <v>2</v>
      </c>
      <c r="T686" s="500">
        <v>2</v>
      </c>
      <c r="U686" s="1879" t="s">
        <v>4079</v>
      </c>
      <c r="V686" s="504">
        <v>45483</v>
      </c>
      <c r="W686" s="498" t="s">
        <v>1813</v>
      </c>
      <c r="X686" s="498" t="s">
        <v>1154</v>
      </c>
      <c r="Y686" s="1490"/>
      <c r="Z686" s="1490"/>
    </row>
    <row r="687" spans="1:26" s="498" customFormat="1" ht="12" customHeight="1">
      <c r="A687" s="498" t="s">
        <v>3925</v>
      </c>
      <c r="B687" s="498" t="s">
        <v>3924</v>
      </c>
      <c r="C687" s="499">
        <v>45556</v>
      </c>
      <c r="D687" s="499">
        <v>45570</v>
      </c>
      <c r="E687" s="498" t="s">
        <v>3926</v>
      </c>
      <c r="G687" s="500" t="s">
        <v>3927</v>
      </c>
      <c r="H687" s="498" t="s">
        <v>3928</v>
      </c>
      <c r="I687" s="498" t="s">
        <v>18</v>
      </c>
      <c r="J687" s="498" t="s">
        <v>51</v>
      </c>
      <c r="L687" s="498" t="s">
        <v>3929</v>
      </c>
      <c r="N687" s="868" t="s">
        <v>3930</v>
      </c>
      <c r="O687" s="1040">
        <f>1590+1290+70+2*3*14</f>
        <v>3034</v>
      </c>
      <c r="Q687" s="498" t="s">
        <v>1192</v>
      </c>
      <c r="R687" s="894">
        <v>2</v>
      </c>
      <c r="S687" s="500">
        <v>2</v>
      </c>
      <c r="T687" s="500">
        <v>2</v>
      </c>
      <c r="U687" s="1879" t="s">
        <v>3938</v>
      </c>
      <c r="V687" s="504">
        <v>45347</v>
      </c>
      <c r="W687" s="498" t="s">
        <v>1477</v>
      </c>
      <c r="X687" s="498" t="s">
        <v>1154</v>
      </c>
      <c r="Y687" s="1490"/>
      <c r="Z687" s="1490"/>
    </row>
    <row r="688" spans="1:26" s="498" customFormat="1" ht="12" customHeight="1">
      <c r="A688" s="498" t="s">
        <v>3851</v>
      </c>
      <c r="B688" s="498" t="s">
        <v>3852</v>
      </c>
      <c r="C688" s="499">
        <v>45570</v>
      </c>
      <c r="D688" s="499">
        <v>45577</v>
      </c>
      <c r="E688" s="498" t="s">
        <v>3853</v>
      </c>
      <c r="G688" s="500" t="s">
        <v>3854</v>
      </c>
      <c r="H688" s="498" t="s">
        <v>3855</v>
      </c>
      <c r="I688" s="498" t="s">
        <v>168</v>
      </c>
      <c r="J688" s="498" t="s">
        <v>51</v>
      </c>
      <c r="L688" s="498" t="s">
        <v>3856</v>
      </c>
      <c r="N688" s="868" t="s">
        <v>3857</v>
      </c>
      <c r="O688" s="1040">
        <f>1290+70+80</f>
        <v>1440</v>
      </c>
      <c r="Q688" s="498" t="s">
        <v>3858</v>
      </c>
      <c r="R688" s="894">
        <v>1</v>
      </c>
      <c r="S688" s="500">
        <v>6</v>
      </c>
      <c r="T688" s="500">
        <v>2</v>
      </c>
      <c r="U688" s="1879" t="s">
        <v>3872</v>
      </c>
      <c r="V688" s="504">
        <v>45302</v>
      </c>
      <c r="W688" s="498" t="s">
        <v>1477</v>
      </c>
      <c r="X688" s="498" t="s">
        <v>1154</v>
      </c>
      <c r="Y688" s="1490" t="s">
        <v>4195</v>
      </c>
      <c r="Z688" s="1490"/>
    </row>
    <row r="689" spans="1:26" s="1787" customFormat="1" ht="12" customHeight="1">
      <c r="A689" s="1786" t="s">
        <v>2905</v>
      </c>
      <c r="B689" s="1788" t="s">
        <v>2906</v>
      </c>
      <c r="C689" s="1788">
        <v>45584</v>
      </c>
      <c r="D689" s="1788">
        <v>45591</v>
      </c>
      <c r="E689" s="1787" t="s">
        <v>3610</v>
      </c>
      <c r="G689" s="1789" t="s">
        <v>3611</v>
      </c>
      <c r="H689" s="1787" t="s">
        <v>720</v>
      </c>
      <c r="I689" s="1787" t="s">
        <v>18</v>
      </c>
      <c r="J689" s="1787" t="s">
        <v>51</v>
      </c>
      <c r="K689" s="1790"/>
      <c r="L689" s="938" t="s">
        <v>3612</v>
      </c>
      <c r="N689" s="868"/>
      <c r="O689" s="1791">
        <f>1290+21+70</f>
        <v>1381</v>
      </c>
      <c r="Q689" s="1787" t="s">
        <v>3613</v>
      </c>
      <c r="R689" s="1792">
        <v>1</v>
      </c>
      <c r="S689" s="1789">
        <v>5</v>
      </c>
      <c r="T689" s="1789">
        <v>1</v>
      </c>
      <c r="U689" s="1793" t="s">
        <v>3645</v>
      </c>
      <c r="V689" s="1794">
        <v>45182</v>
      </c>
      <c r="W689" s="1787" t="s">
        <v>1519</v>
      </c>
      <c r="Y689" s="1921"/>
      <c r="Z689" s="1921"/>
    </row>
    <row r="690" spans="1:26" s="498" customFormat="1" ht="12" customHeight="1">
      <c r="A690" s="1925" t="s">
        <v>3648</v>
      </c>
      <c r="B690" s="498" t="s">
        <v>3647</v>
      </c>
      <c r="C690" s="1788">
        <v>45584</v>
      </c>
      <c r="D690" s="1788">
        <v>45591</v>
      </c>
      <c r="E690" s="1787" t="s">
        <v>3610</v>
      </c>
      <c r="F690" s="1787"/>
      <c r="G690" s="1789" t="s">
        <v>3611</v>
      </c>
      <c r="H690" s="1787" t="s">
        <v>720</v>
      </c>
      <c r="I690" s="1787" t="s">
        <v>18</v>
      </c>
      <c r="J690" s="1787" t="s">
        <v>51</v>
      </c>
      <c r="K690" s="1790"/>
      <c r="L690" s="938" t="s">
        <v>3612</v>
      </c>
      <c r="N690" s="868" t="s">
        <v>4116</v>
      </c>
      <c r="O690" s="1926"/>
      <c r="R690" s="894"/>
      <c r="S690" s="500"/>
      <c r="T690" s="500"/>
      <c r="U690" s="1927"/>
      <c r="V690" s="504"/>
      <c r="Y690" s="1490"/>
      <c r="Z690" s="1490"/>
    </row>
    <row r="691" spans="1:26" s="498" customFormat="1" ht="12" customHeight="1">
      <c r="A691" s="1925" t="s">
        <v>2742</v>
      </c>
      <c r="B691" s="498" t="s">
        <v>4042</v>
      </c>
      <c r="C691" s="1788">
        <v>45591</v>
      </c>
      <c r="D691" s="1788">
        <v>45598</v>
      </c>
      <c r="E691" s="1787" t="s">
        <v>4181</v>
      </c>
      <c r="F691" s="1787"/>
      <c r="G691" s="1789" t="s">
        <v>4183</v>
      </c>
      <c r="H691" s="1787" t="s">
        <v>4182</v>
      </c>
      <c r="I691" s="1787" t="s">
        <v>168</v>
      </c>
      <c r="J691" s="1787" t="s">
        <v>51</v>
      </c>
      <c r="K691" s="1790"/>
      <c r="L691" s="938" t="s">
        <v>4180</v>
      </c>
      <c r="N691" s="868" t="s">
        <v>4178</v>
      </c>
      <c r="O691" s="1926">
        <v>1290</v>
      </c>
      <c r="Q691" s="498" t="s">
        <v>4179</v>
      </c>
      <c r="R691" s="894">
        <v>1</v>
      </c>
      <c r="S691" s="500">
        <v>1</v>
      </c>
      <c r="T691" s="500">
        <v>4</v>
      </c>
      <c r="U691" s="1927" t="s">
        <v>4197</v>
      </c>
      <c r="V691" s="504">
        <v>45565</v>
      </c>
      <c r="W691" s="498" t="s">
        <v>997</v>
      </c>
      <c r="X691" s="498" t="s">
        <v>1154</v>
      </c>
      <c r="Y691" s="1490"/>
      <c r="Z691" s="1490"/>
    </row>
    <row r="692" spans="1:26" s="912" customFormat="1" ht="12" customHeight="1">
      <c r="A692" s="1813" t="s">
        <v>3802</v>
      </c>
      <c r="B692" s="912" t="s">
        <v>627</v>
      </c>
      <c r="C692" s="1814">
        <v>45647</v>
      </c>
      <c r="D692" s="1814">
        <v>45661</v>
      </c>
      <c r="E692" s="912" t="s">
        <v>3803</v>
      </c>
      <c r="G692" s="910" t="s">
        <v>3804</v>
      </c>
      <c r="H692" s="912" t="s">
        <v>3805</v>
      </c>
      <c r="I692" s="912" t="s">
        <v>18</v>
      </c>
      <c r="J692" s="912" t="s">
        <v>51</v>
      </c>
      <c r="K692" s="1815" t="s">
        <v>3806</v>
      </c>
      <c r="L692" s="912" t="s">
        <v>3807</v>
      </c>
      <c r="N692" s="2007" t="s">
        <v>3808</v>
      </c>
      <c r="O692" s="1816"/>
      <c r="Q692" s="912" t="s">
        <v>4063</v>
      </c>
      <c r="R692" s="1817">
        <v>0</v>
      </c>
      <c r="S692" s="910">
        <v>2</v>
      </c>
      <c r="T692" s="910">
        <v>3</v>
      </c>
      <c r="U692" s="1908" t="s">
        <v>3842</v>
      </c>
      <c r="V692" s="1818">
        <v>45298</v>
      </c>
      <c r="W692" s="912" t="s">
        <v>1519</v>
      </c>
      <c r="X692" s="912" t="s">
        <v>1154</v>
      </c>
      <c r="Y692" s="2169" t="s">
        <v>3843</v>
      </c>
      <c r="Z692" s="2169"/>
    </row>
    <row r="693" spans="1:26" s="498" customFormat="1" ht="12" customHeight="1">
      <c r="A693" s="498" t="s">
        <v>4262</v>
      </c>
      <c r="B693" s="498" t="s">
        <v>4263</v>
      </c>
      <c r="C693" s="499">
        <v>45647</v>
      </c>
      <c r="D693" s="499">
        <v>45654</v>
      </c>
      <c r="E693" s="498" t="s">
        <v>4264</v>
      </c>
      <c r="G693" s="500" t="s">
        <v>4265</v>
      </c>
      <c r="H693" s="498" t="s">
        <v>4266</v>
      </c>
      <c r="I693" s="498" t="s">
        <v>18</v>
      </c>
      <c r="J693" s="498" t="s">
        <v>51</v>
      </c>
      <c r="K693" s="688"/>
      <c r="L693" s="498" t="s">
        <v>4267</v>
      </c>
      <c r="N693" s="868" t="s">
        <v>4268</v>
      </c>
      <c r="O693" s="1926">
        <v>1200</v>
      </c>
      <c r="Q693" s="498" t="s">
        <v>717</v>
      </c>
      <c r="R693" s="894">
        <v>1</v>
      </c>
      <c r="S693" s="500">
        <v>2</v>
      </c>
      <c r="T693" s="500">
        <v>2</v>
      </c>
      <c r="U693" s="1962"/>
      <c r="V693" s="504">
        <v>45642</v>
      </c>
      <c r="W693" s="498" t="s">
        <v>1477</v>
      </c>
      <c r="X693" s="498" t="s">
        <v>1217</v>
      </c>
      <c r="Y693" s="1490"/>
      <c r="Z693" s="1490"/>
    </row>
    <row r="694" spans="1:26" s="498" customFormat="1" ht="12" customHeight="1">
      <c r="A694" s="498" t="s">
        <v>4129</v>
      </c>
      <c r="B694" s="498" t="s">
        <v>4130</v>
      </c>
      <c r="C694" s="499">
        <v>45654</v>
      </c>
      <c r="D694" s="499">
        <v>45662</v>
      </c>
      <c r="E694" s="498" t="s">
        <v>4131</v>
      </c>
      <c r="G694" s="500" t="s">
        <v>4132</v>
      </c>
      <c r="H694" s="498" t="s">
        <v>4133</v>
      </c>
      <c r="I694" s="498" t="s">
        <v>18</v>
      </c>
      <c r="J694" s="498" t="s">
        <v>51</v>
      </c>
      <c r="L694" s="498" t="s">
        <v>4134</v>
      </c>
      <c r="N694" s="868" t="s">
        <v>4135</v>
      </c>
      <c r="O694" s="1040">
        <f>1390+42+70+42</f>
        <v>1544</v>
      </c>
      <c r="Q694" s="498" t="s">
        <v>1858</v>
      </c>
      <c r="R694" s="894">
        <v>1</v>
      </c>
      <c r="S694" s="500">
        <v>2</v>
      </c>
      <c r="T694" s="500">
        <v>2</v>
      </c>
      <c r="U694" s="1963" t="s">
        <v>4160</v>
      </c>
      <c r="V694" s="504">
        <v>45545</v>
      </c>
      <c r="W694" s="498" t="s">
        <v>1477</v>
      </c>
      <c r="X694" s="498" t="s">
        <v>1154</v>
      </c>
      <c r="Y694" s="1490" t="s">
        <v>4161</v>
      </c>
      <c r="Z694" s="1490"/>
    </row>
    <row r="695" spans="1:26" s="1104" customFormat="1" ht="12" customHeight="1">
      <c r="A695" s="1124"/>
      <c r="C695" s="1105"/>
      <c r="D695" s="1105"/>
      <c r="G695" s="1106"/>
      <c r="K695" s="1107"/>
      <c r="N695" s="1103"/>
      <c r="O695" s="1122"/>
      <c r="R695" s="1123"/>
      <c r="S695" s="1106"/>
      <c r="T695" s="1106"/>
      <c r="U695" s="1909"/>
      <c r="V695" s="1598"/>
      <c r="Y695" s="2170"/>
      <c r="Z695" s="2170"/>
    </row>
    <row r="696" spans="1:26" ht="12" customHeight="1">
      <c r="H696" s="495"/>
      <c r="L696" s="15"/>
      <c r="N696" s="1103"/>
      <c r="O696" s="1108"/>
      <c r="U696" s="1894"/>
    </row>
    <row r="697" spans="1:26" ht="12" customHeight="1">
      <c r="N697" s="1103"/>
      <c r="O697" s="1108"/>
      <c r="U697" s="1904"/>
    </row>
    <row r="698" spans="1:26" ht="12" customHeight="1">
      <c r="N698" s="1103"/>
      <c r="O698" s="1108"/>
      <c r="U698" s="1894"/>
    </row>
    <row r="699" spans="1:26" ht="12" customHeight="1">
      <c r="L699" s="1103"/>
      <c r="N699" s="1103"/>
      <c r="O699" s="1108"/>
      <c r="U699" s="1904"/>
    </row>
    <row r="700" spans="1:26" s="407" customFormat="1" ht="12" customHeight="1" thickBot="1">
      <c r="C700" s="997"/>
      <c r="D700" s="997"/>
      <c r="E700" s="998"/>
      <c r="G700" s="999"/>
      <c r="H700" s="998"/>
      <c r="I700" s="2010"/>
      <c r="J700" s="2010"/>
      <c r="K700" s="2010"/>
      <c r="L700" s="1538"/>
      <c r="M700" s="2010"/>
      <c r="N700" s="1121"/>
      <c r="O700" s="2011"/>
      <c r="P700" s="2010"/>
      <c r="Q700" s="2010"/>
      <c r="R700" s="2012"/>
      <c r="S700" s="2013"/>
      <c r="T700" s="2013"/>
      <c r="U700" s="2016"/>
      <c r="V700" s="2015"/>
      <c r="Y700" s="1519"/>
      <c r="Z700" s="1519"/>
    </row>
    <row r="701" spans="1:26" s="407" customFormat="1" ht="12" customHeight="1" thickBot="1">
      <c r="A701" s="18" t="s">
        <v>3469</v>
      </c>
      <c r="B701" s="1050">
        <f>SUM(O666:O701)</f>
        <v>76238</v>
      </c>
      <c r="C701" s="826">
        <f>B701/B653</f>
        <v>1.3450125260223704</v>
      </c>
      <c r="D701" s="1584" t="s">
        <v>574</v>
      </c>
      <c r="E701" s="1585">
        <f>E653</f>
        <v>11114.19</v>
      </c>
      <c r="G701" s="999"/>
      <c r="H701" s="998"/>
      <c r="I701" s="2010"/>
      <c r="J701" s="2010"/>
      <c r="K701" s="2010"/>
      <c r="L701" s="1538"/>
      <c r="M701" s="2010"/>
      <c r="N701" s="1121"/>
      <c r="O701" s="2011"/>
      <c r="P701" s="2010"/>
      <c r="Q701" s="2010"/>
      <c r="R701" s="2012"/>
      <c r="S701" s="2013"/>
      <c r="T701" s="2013"/>
      <c r="U701" s="2016"/>
      <c r="V701" s="2015"/>
      <c r="Y701" s="1519"/>
      <c r="Z701" s="1519"/>
    </row>
    <row r="702" spans="1:26" s="407" customFormat="1" ht="12" customHeight="1" thickBot="1">
      <c r="A702" s="768" t="s">
        <v>463</v>
      </c>
      <c r="B702" s="827">
        <f>SUM(R666:R701)</f>
        <v>30</v>
      </c>
      <c r="C702" s="1576">
        <f>B701/B702</f>
        <v>2541.2666666666669</v>
      </c>
      <c r="D702" s="1586" t="s">
        <v>575</v>
      </c>
      <c r="E702" s="1587"/>
      <c r="G702" s="999"/>
      <c r="H702" s="371"/>
      <c r="I702" s="2010"/>
      <c r="J702" s="2010"/>
      <c r="K702" s="2010"/>
      <c r="L702" s="1538"/>
      <c r="M702" s="2010"/>
      <c r="N702" s="1121"/>
      <c r="O702" s="2011"/>
      <c r="P702" s="2010"/>
      <c r="Q702" s="2010"/>
      <c r="R702" s="2012"/>
      <c r="S702" s="2013"/>
      <c r="T702" s="2013"/>
      <c r="U702" s="2016"/>
      <c r="V702" s="2015"/>
      <c r="Y702" s="1519"/>
      <c r="Z702" s="1519"/>
    </row>
    <row r="703" spans="1:26" s="407" customFormat="1" ht="12" customHeight="1" thickBot="1">
      <c r="A703" s="7"/>
      <c r="B703" s="7"/>
      <c r="C703" s="29"/>
      <c r="D703" s="1586" t="s">
        <v>576</v>
      </c>
      <c r="E703" s="1587">
        <v>1843.13</v>
      </c>
      <c r="G703" s="999"/>
      <c r="H703" s="998"/>
      <c r="I703" s="2010"/>
      <c r="J703" s="2010"/>
      <c r="K703" s="2010"/>
      <c r="L703" s="1538"/>
      <c r="M703" s="2010"/>
      <c r="N703" s="1121"/>
      <c r="O703" s="2011"/>
      <c r="P703" s="2010"/>
      <c r="Q703" s="2010"/>
      <c r="R703" s="2012"/>
      <c r="S703" s="2013"/>
      <c r="T703" s="2013"/>
      <c r="U703" s="2016"/>
      <c r="V703" s="2015"/>
      <c r="Y703" s="1519"/>
      <c r="Z703" s="1519"/>
    </row>
    <row r="704" spans="1:26" s="407" customFormat="1" ht="12" customHeight="1" thickBot="1">
      <c r="A704" s="18" t="s">
        <v>464</v>
      </c>
      <c r="B704" s="917">
        <v>0</v>
      </c>
      <c r="C704" s="29"/>
      <c r="D704" s="1586" t="s">
        <v>1304</v>
      </c>
      <c r="E704" s="1587"/>
      <c r="G704" s="999"/>
      <c r="H704" s="998"/>
      <c r="I704" s="2010"/>
      <c r="J704" s="2010"/>
      <c r="K704" s="2010"/>
      <c r="L704" s="1538"/>
      <c r="M704" s="2010"/>
      <c r="N704" s="1121"/>
      <c r="O704" s="2011"/>
      <c r="P704" s="2010"/>
      <c r="Q704" s="2010"/>
      <c r="R704" s="2012"/>
      <c r="S704" s="2013"/>
      <c r="T704" s="2013"/>
      <c r="U704" s="2016"/>
      <c r="V704" s="2015"/>
      <c r="Y704" s="1519"/>
      <c r="Z704" s="1519"/>
    </row>
    <row r="705" spans="1:26" s="407" customFormat="1" ht="12" customHeight="1" thickBot="1">
      <c r="A705" s="852" t="s">
        <v>574</v>
      </c>
      <c r="B705" s="853">
        <f>E701</f>
        <v>11114.19</v>
      </c>
      <c r="C705" s="29"/>
      <c r="D705" s="1586" t="s">
        <v>577</v>
      </c>
      <c r="E705" s="1587"/>
      <c r="G705" s="999"/>
      <c r="H705" s="998"/>
      <c r="I705" s="2010"/>
      <c r="J705" s="2010"/>
      <c r="K705" s="2010"/>
      <c r="L705" s="1538"/>
      <c r="M705" s="2010"/>
      <c r="N705" s="1121"/>
      <c r="O705" s="2011"/>
      <c r="P705" s="2010"/>
      <c r="Q705" s="2010"/>
      <c r="R705" s="2012"/>
      <c r="S705" s="2013"/>
      <c r="T705" s="2013"/>
      <c r="U705" s="2016"/>
      <c r="V705" s="2015"/>
      <c r="Y705" s="1519"/>
      <c r="Z705" s="1519"/>
    </row>
    <row r="706" spans="1:26" s="407" customFormat="1" ht="12" customHeight="1">
      <c r="A706" s="510" t="s">
        <v>1534</v>
      </c>
      <c r="B706" s="854">
        <f>B701-B704-B705</f>
        <v>65123.81</v>
      </c>
      <c r="C706" s="29"/>
      <c r="D706" s="1586" t="s">
        <v>3360</v>
      </c>
      <c r="E706" s="1587">
        <v>802</v>
      </c>
      <c r="G706" s="999"/>
      <c r="H706" s="998"/>
      <c r="I706" s="2010"/>
      <c r="J706" s="2010"/>
      <c r="K706" s="2010"/>
      <c r="L706" s="1538"/>
      <c r="M706" s="2010"/>
      <c r="N706" s="1121"/>
      <c r="O706" s="2011"/>
      <c r="P706" s="2010"/>
      <c r="Q706" s="2010"/>
      <c r="R706" s="2012"/>
      <c r="S706" s="2013"/>
      <c r="T706" s="2013"/>
      <c r="U706" s="2016"/>
      <c r="V706" s="2015"/>
      <c r="Y706" s="1519"/>
      <c r="Z706" s="1519"/>
    </row>
    <row r="707" spans="1:26" ht="12" customHeight="1" thickBot="1">
      <c r="A707" s="768" t="s">
        <v>466</v>
      </c>
      <c r="B707" s="800">
        <f>(B706-B705)/12</f>
        <v>4500.8016666666663</v>
      </c>
      <c r="C707" s="29"/>
      <c r="D707" s="1588"/>
      <c r="E707" s="1589"/>
      <c r="K707" s="15"/>
      <c r="N707" s="49"/>
      <c r="O707" s="1035"/>
      <c r="Q707" s="8" t="s">
        <v>3262</v>
      </c>
      <c r="U707" s="1905"/>
    </row>
    <row r="713" spans="1:26" ht="12" customHeight="1">
      <c r="A713" s="1002" t="s">
        <v>4028</v>
      </c>
      <c r="C713" s="34"/>
      <c r="D713" s="34"/>
      <c r="K713" s="15"/>
      <c r="N713" s="49"/>
      <c r="O713" s="1035"/>
      <c r="U713" s="1881"/>
    </row>
    <row r="714" spans="1:26" ht="12" customHeight="1">
      <c r="A714" s="870"/>
      <c r="C714" s="34"/>
      <c r="D714" s="34"/>
      <c r="K714" s="15"/>
      <c r="N714" s="49"/>
      <c r="O714" s="1035"/>
      <c r="U714" s="1906"/>
      <c r="Z714" s="439" t="s">
        <v>2262</v>
      </c>
    </row>
    <row r="715" spans="1:26" s="1971" customFormat="1" ht="12" customHeight="1">
      <c r="A715" s="1970" t="s">
        <v>4349</v>
      </c>
      <c r="B715" s="1971" t="s">
        <v>3783</v>
      </c>
      <c r="C715" s="1972">
        <v>45704</v>
      </c>
      <c r="D715" s="1972">
        <v>45711</v>
      </c>
      <c r="E715" s="1971" t="s">
        <v>4350</v>
      </c>
      <c r="G715" s="1973">
        <v>1160</v>
      </c>
      <c r="H715" s="1971" t="s">
        <v>4351</v>
      </c>
      <c r="I715" s="1971" t="s">
        <v>36</v>
      </c>
      <c r="J715" s="1971" t="s">
        <v>19</v>
      </c>
      <c r="K715" s="1974"/>
      <c r="L715" s="1971" t="s">
        <v>4352</v>
      </c>
      <c r="N715" s="2008" t="s">
        <v>4366</v>
      </c>
      <c r="O715" s="1975">
        <v>1000</v>
      </c>
      <c r="Q715" s="1971" t="s">
        <v>4353</v>
      </c>
      <c r="R715" s="1976">
        <v>1</v>
      </c>
      <c r="S715" s="1973">
        <v>1</v>
      </c>
      <c r="T715" s="1973">
        <v>1</v>
      </c>
      <c r="U715" s="1977" t="s">
        <v>4365</v>
      </c>
      <c r="V715" s="1978">
        <v>45698</v>
      </c>
      <c r="W715" s="1971" t="s">
        <v>4330</v>
      </c>
      <c r="X715" s="1971" t="s">
        <v>1217</v>
      </c>
      <c r="Y715" s="2171"/>
      <c r="Z715" s="2171">
        <v>500</v>
      </c>
    </row>
    <row r="716" spans="1:26" s="1549" customFormat="1" ht="12" customHeight="1">
      <c r="A716" s="1549" t="s">
        <v>4324</v>
      </c>
      <c r="B716" s="1549" t="s">
        <v>4325</v>
      </c>
      <c r="C716" s="1981">
        <v>45731</v>
      </c>
      <c r="D716" s="1981">
        <v>45745</v>
      </c>
      <c r="E716" s="1549" t="s">
        <v>4326</v>
      </c>
      <c r="G716" s="1982">
        <v>8352</v>
      </c>
      <c r="H716" s="1549" t="s">
        <v>4327</v>
      </c>
      <c r="I716" s="1549" t="s">
        <v>168</v>
      </c>
      <c r="J716" s="1549" t="s">
        <v>51</v>
      </c>
      <c r="L716" s="1549" t="s">
        <v>4328</v>
      </c>
      <c r="N716" s="2002" t="s">
        <v>4329</v>
      </c>
      <c r="O716" s="1984">
        <f>1090*2</f>
        <v>2180</v>
      </c>
      <c r="Q716" s="1549" t="s">
        <v>1192</v>
      </c>
      <c r="R716" s="1985">
        <v>2</v>
      </c>
      <c r="S716" s="1982">
        <v>2</v>
      </c>
      <c r="T716" s="1982">
        <v>2</v>
      </c>
      <c r="U716" s="1986" t="s">
        <v>4354</v>
      </c>
      <c r="V716" s="1987">
        <v>45695</v>
      </c>
      <c r="W716" s="1549" t="s">
        <v>4330</v>
      </c>
      <c r="X716" s="1549" t="s">
        <v>1154</v>
      </c>
      <c r="Y716" s="1998"/>
      <c r="Z716" s="1998"/>
    </row>
    <row r="717" spans="1:26" s="1549" customFormat="1" ht="12" customHeight="1">
      <c r="A717" s="1988" t="s">
        <v>4165</v>
      </c>
      <c r="B717" s="1549" t="s">
        <v>1083</v>
      </c>
      <c r="C717" s="1981">
        <v>45752</v>
      </c>
      <c r="D717" s="1981">
        <v>45766</v>
      </c>
      <c r="E717" s="1549" t="s">
        <v>4166</v>
      </c>
      <c r="G717" s="1982" t="s">
        <v>4167</v>
      </c>
      <c r="H717" s="1549" t="s">
        <v>4168</v>
      </c>
      <c r="I717" s="1549" t="s">
        <v>18</v>
      </c>
      <c r="J717" s="1549" t="s">
        <v>51</v>
      </c>
      <c r="K717" s="1989"/>
      <c r="L717" s="1549" t="s">
        <v>4169</v>
      </c>
      <c r="N717" s="2002" t="s">
        <v>4170</v>
      </c>
      <c r="O717" s="1990">
        <f>1190+1290+70+2*3*14</f>
        <v>2634</v>
      </c>
      <c r="Q717" s="1549" t="s">
        <v>1192</v>
      </c>
      <c r="R717" s="1985">
        <v>2</v>
      </c>
      <c r="S717" s="1982">
        <v>2</v>
      </c>
      <c r="T717" s="1982">
        <v>2</v>
      </c>
      <c r="U717" s="1991" t="s">
        <v>4194</v>
      </c>
      <c r="V717" s="1987">
        <v>45923</v>
      </c>
      <c r="W717" s="1549" t="s">
        <v>1477</v>
      </c>
      <c r="X717" s="1549" t="s">
        <v>1154</v>
      </c>
      <c r="Y717" s="1998"/>
      <c r="Z717" s="1998"/>
    </row>
    <row r="718" spans="1:26" s="1549" customFormat="1" ht="12" customHeight="1">
      <c r="A718" s="1988" t="s">
        <v>1596</v>
      </c>
      <c r="B718" s="1549" t="s">
        <v>1696</v>
      </c>
      <c r="C718" s="1981">
        <v>45766</v>
      </c>
      <c r="D718" s="1981">
        <v>45780</v>
      </c>
      <c r="E718" s="1549" t="s">
        <v>4187</v>
      </c>
      <c r="G718" s="1982" t="s">
        <v>4188</v>
      </c>
      <c r="H718" s="1549" t="s">
        <v>4189</v>
      </c>
      <c r="I718" s="1549" t="s">
        <v>18</v>
      </c>
      <c r="J718" s="1549" t="s">
        <v>51</v>
      </c>
      <c r="K718" s="1989"/>
      <c r="L718" s="1549" t="s">
        <v>4190</v>
      </c>
      <c r="N718" s="1983" t="s">
        <v>4191</v>
      </c>
      <c r="O718" s="1990">
        <f>1290+1390+70+3*3*14</f>
        <v>2876</v>
      </c>
      <c r="Q718" s="1549" t="s">
        <v>2771</v>
      </c>
      <c r="R718" s="1985">
        <v>2</v>
      </c>
      <c r="S718" s="1982">
        <v>4</v>
      </c>
      <c r="T718" s="1982">
        <v>3</v>
      </c>
      <c r="U718" s="1991" t="s">
        <v>4193</v>
      </c>
      <c r="V718" s="1987">
        <v>45567</v>
      </c>
      <c r="W718" s="1549" t="s">
        <v>4192</v>
      </c>
      <c r="X718" s="1549" t="s">
        <v>1154</v>
      </c>
      <c r="Y718" s="1998"/>
      <c r="Z718" s="1998"/>
    </row>
    <row r="719" spans="1:26" s="1549" customFormat="1" ht="12" customHeight="1">
      <c r="A719" s="1549" t="s">
        <v>2304</v>
      </c>
      <c r="B719" s="1549" t="s">
        <v>4032</v>
      </c>
      <c r="C719" s="1981">
        <v>45780</v>
      </c>
      <c r="D719" s="1981">
        <v>45794</v>
      </c>
      <c r="E719" s="1549" t="s">
        <v>2305</v>
      </c>
      <c r="G719" s="1982" t="s">
        <v>2306</v>
      </c>
      <c r="H719" s="1549" t="s">
        <v>2307</v>
      </c>
      <c r="I719" s="1549" t="s">
        <v>18</v>
      </c>
      <c r="J719" s="1549" t="s">
        <v>1023</v>
      </c>
      <c r="K719" s="1549" t="s">
        <v>2309</v>
      </c>
      <c r="L719" s="1549" t="s">
        <v>4030</v>
      </c>
      <c r="N719" s="2027" t="s">
        <v>4031</v>
      </c>
      <c r="O719" s="1036">
        <f>1390*2+3*14*2+70</f>
        <v>2934</v>
      </c>
      <c r="Q719" s="1549" t="s">
        <v>2023</v>
      </c>
      <c r="R719" s="1985">
        <v>2</v>
      </c>
      <c r="S719" s="1982">
        <v>2</v>
      </c>
      <c r="T719" s="1982">
        <v>3</v>
      </c>
      <c r="U719" s="2028" t="s">
        <v>4036</v>
      </c>
      <c r="V719" s="1987">
        <v>45425</v>
      </c>
      <c r="W719" s="1549" t="s">
        <v>4033</v>
      </c>
      <c r="X719" s="1549" t="s">
        <v>1154</v>
      </c>
      <c r="Y719" s="1998"/>
      <c r="Z719" s="1998">
        <v>2200</v>
      </c>
    </row>
    <row r="720" spans="1:26" s="2029" customFormat="1" ht="12" customHeight="1">
      <c r="A720" s="2029" t="s">
        <v>4103</v>
      </c>
      <c r="B720" s="2029" t="s">
        <v>2777</v>
      </c>
      <c r="C720" s="2030">
        <v>45794</v>
      </c>
      <c r="D720" s="2030">
        <v>45808</v>
      </c>
      <c r="E720" s="2029" t="s">
        <v>4536</v>
      </c>
      <c r="G720" s="2031" t="s">
        <v>4104</v>
      </c>
      <c r="H720" s="2029" t="s">
        <v>4105</v>
      </c>
      <c r="I720" s="2029" t="s">
        <v>18</v>
      </c>
      <c r="J720" s="2029" t="s">
        <v>51</v>
      </c>
      <c r="L720" s="2029" t="s">
        <v>4106</v>
      </c>
      <c r="N720" s="1983" t="s">
        <v>4107</v>
      </c>
      <c r="O720" s="1074">
        <f>1390+1590+70+3*1*14</f>
        <v>3092</v>
      </c>
      <c r="Q720" s="2029" t="s">
        <v>1025</v>
      </c>
      <c r="R720" s="2033">
        <v>2</v>
      </c>
      <c r="S720" s="2031">
        <v>2</v>
      </c>
      <c r="T720" s="2031">
        <v>1</v>
      </c>
      <c r="U720" s="2036" t="s">
        <v>4108</v>
      </c>
      <c r="V720" s="2035">
        <v>45510</v>
      </c>
      <c r="W720" s="2029" t="s">
        <v>1477</v>
      </c>
      <c r="Y720" s="2172"/>
      <c r="Z720" s="2172">
        <v>2347</v>
      </c>
    </row>
    <row r="721" spans="1:26" s="2029" customFormat="1" ht="12" customHeight="1">
      <c r="A721" s="2029" t="s">
        <v>4151</v>
      </c>
      <c r="B721" s="2029" t="s">
        <v>4524</v>
      </c>
      <c r="C721" s="2030">
        <v>45808</v>
      </c>
      <c r="D721" s="2030">
        <v>45822</v>
      </c>
      <c r="E721" s="2029" t="s">
        <v>4152</v>
      </c>
      <c r="G721" s="2031" t="s">
        <v>4153</v>
      </c>
      <c r="H721" s="2029" t="s">
        <v>4154</v>
      </c>
      <c r="I721" s="2029" t="s">
        <v>18</v>
      </c>
      <c r="J721" s="2029" t="s">
        <v>51</v>
      </c>
      <c r="L721" s="2029" t="s">
        <v>4155</v>
      </c>
      <c r="N721" s="1983" t="s">
        <v>4156</v>
      </c>
      <c r="O721" s="2032">
        <f>1590+1690+3*3*14+70</f>
        <v>3476</v>
      </c>
      <c r="Q721" s="2029" t="s">
        <v>4522</v>
      </c>
      <c r="R721" s="2033">
        <v>2</v>
      </c>
      <c r="S721" s="2031">
        <v>4</v>
      </c>
      <c r="T721" s="2031">
        <v>3</v>
      </c>
      <c r="U721" s="2034" t="s">
        <v>4185</v>
      </c>
      <c r="V721" s="2035">
        <v>45548</v>
      </c>
      <c r="W721" s="2029" t="s">
        <v>1477</v>
      </c>
      <c r="Y721" s="2172"/>
      <c r="Z721" s="2172"/>
    </row>
    <row r="722" spans="1:26" s="2029" customFormat="1" ht="12" customHeight="1">
      <c r="A722" s="2039" t="s">
        <v>3528</v>
      </c>
      <c r="B722" s="2029" t="s">
        <v>3527</v>
      </c>
      <c r="C722" s="2030">
        <v>45822</v>
      </c>
      <c r="D722" s="2030">
        <v>45836</v>
      </c>
      <c r="E722" s="1549" t="s">
        <v>3529</v>
      </c>
      <c r="G722" s="2031"/>
      <c r="I722" s="2029" t="s">
        <v>18</v>
      </c>
      <c r="J722" s="2029" t="s">
        <v>51</v>
      </c>
      <c r="K722" s="2040"/>
      <c r="L722" s="2029" t="s">
        <v>3530</v>
      </c>
      <c r="N722" s="1983" t="s">
        <v>3526</v>
      </c>
      <c r="O722" s="1074">
        <f>1990*2+70+3*3*14</f>
        <v>4176</v>
      </c>
      <c r="Q722" s="2029" t="s">
        <v>3587</v>
      </c>
      <c r="R722" s="2033">
        <v>2</v>
      </c>
      <c r="S722" s="2031">
        <v>3</v>
      </c>
      <c r="T722" s="2031">
        <v>3</v>
      </c>
      <c r="U722" s="2041" t="s">
        <v>4055</v>
      </c>
      <c r="V722" s="2035">
        <v>45448</v>
      </c>
      <c r="W722" s="2029" t="s">
        <v>4049</v>
      </c>
      <c r="X722" s="2029" t="s">
        <v>1154</v>
      </c>
      <c r="Y722" s="2172"/>
      <c r="Z722" s="2172">
        <v>3181</v>
      </c>
    </row>
    <row r="723" spans="1:26" s="1104" customFormat="1" ht="12" customHeight="1">
      <c r="A723" s="1979"/>
      <c r="C723" s="1105"/>
      <c r="D723" s="1105"/>
      <c r="E723" s="8"/>
      <c r="G723" s="1106"/>
      <c r="K723" s="1107"/>
      <c r="N723" s="1103"/>
      <c r="O723" s="1122"/>
      <c r="R723" s="1123"/>
      <c r="S723" s="1106"/>
      <c r="T723" s="1106"/>
      <c r="U723" s="1980"/>
      <c r="V723" s="1598"/>
      <c r="Y723" s="2170"/>
      <c r="Z723" s="2170"/>
    </row>
    <row r="724" spans="1:26" s="498" customFormat="1" ht="12" customHeight="1">
      <c r="A724" s="1617" t="s">
        <v>4426</v>
      </c>
      <c r="B724" s="1617" t="s">
        <v>4427</v>
      </c>
      <c r="C724" s="499">
        <v>45843</v>
      </c>
      <c r="D724" s="499">
        <v>45857</v>
      </c>
      <c r="E724" s="498" t="s">
        <v>4428</v>
      </c>
      <c r="G724" s="500" t="s">
        <v>4429</v>
      </c>
      <c r="H724" s="498" t="s">
        <v>4430</v>
      </c>
      <c r="I724" s="498" t="s">
        <v>18</v>
      </c>
      <c r="J724" s="498" t="s">
        <v>51</v>
      </c>
      <c r="L724" s="498" t="s">
        <v>4431</v>
      </c>
      <c r="N724" s="501" t="s">
        <v>4432</v>
      </c>
      <c r="O724" s="1040">
        <f>2490*2+2*3*14+70</f>
        <v>5134</v>
      </c>
      <c r="Q724" s="498" t="s">
        <v>4554</v>
      </c>
      <c r="R724" s="894">
        <v>2</v>
      </c>
      <c r="S724" s="500">
        <v>2</v>
      </c>
      <c r="T724" s="500">
        <v>2</v>
      </c>
      <c r="U724" s="1879">
        <v>1245</v>
      </c>
      <c r="V724" s="504">
        <v>45719</v>
      </c>
      <c r="W724" s="498" t="s">
        <v>1477</v>
      </c>
      <c r="X724" s="498" t="s">
        <v>1154</v>
      </c>
      <c r="Y724" s="1490"/>
      <c r="Z724" s="1490"/>
    </row>
    <row r="725" spans="1:26" s="1160" customFormat="1" ht="12" customHeight="1">
      <c r="A725" s="1947" t="s">
        <v>4096</v>
      </c>
      <c r="B725" s="1160" t="s">
        <v>4097</v>
      </c>
      <c r="C725" s="1161">
        <v>45850</v>
      </c>
      <c r="D725" s="1161">
        <v>45864</v>
      </c>
      <c r="E725" s="1160" t="s">
        <v>4098</v>
      </c>
      <c r="G725" s="1162" t="s">
        <v>4099</v>
      </c>
      <c r="H725" s="1160" t="s">
        <v>4100</v>
      </c>
      <c r="I725" s="1160" t="s">
        <v>1775</v>
      </c>
      <c r="J725" s="1160" t="s">
        <v>1023</v>
      </c>
      <c r="K725" s="1163"/>
      <c r="L725" s="1160" t="s">
        <v>4101</v>
      </c>
      <c r="N725" s="1151" t="s">
        <v>4102</v>
      </c>
      <c r="O725" s="1948"/>
      <c r="Q725" s="1160" t="s">
        <v>4518</v>
      </c>
      <c r="R725" s="1949">
        <v>0</v>
      </c>
      <c r="S725" s="1162">
        <v>2</v>
      </c>
      <c r="T725" s="1162">
        <v>1</v>
      </c>
      <c r="U725" s="1950" t="s">
        <v>4196</v>
      </c>
      <c r="V725" s="1167"/>
      <c r="W725" s="1160" t="s">
        <v>1338</v>
      </c>
      <c r="X725" s="1160" t="s">
        <v>1154</v>
      </c>
      <c r="Y725" s="1502"/>
      <c r="Z725" s="1502"/>
    </row>
    <row r="726" spans="1:26" s="498" customFormat="1" ht="12" customHeight="1">
      <c r="A726" s="498" t="s">
        <v>4284</v>
      </c>
      <c r="B726" s="498" t="s">
        <v>4285</v>
      </c>
      <c r="C726" s="499">
        <v>45857</v>
      </c>
      <c r="D726" s="499">
        <v>45871</v>
      </c>
      <c r="E726" s="938" t="s">
        <v>4288</v>
      </c>
      <c r="G726" s="500" t="s">
        <v>4290</v>
      </c>
      <c r="H726" s="938" t="s">
        <v>4289</v>
      </c>
      <c r="I726" s="498" t="s">
        <v>18</v>
      </c>
      <c r="J726" s="498" t="s">
        <v>51</v>
      </c>
      <c r="L726" s="688" t="s">
        <v>4286</v>
      </c>
      <c r="N726" s="501" t="s">
        <v>4287</v>
      </c>
      <c r="O726" s="1040">
        <f>2*2490+70+42</f>
        <v>5092</v>
      </c>
      <c r="Q726" s="498" t="s">
        <v>4555</v>
      </c>
      <c r="R726" s="894">
        <v>2</v>
      </c>
      <c r="S726" s="500" t="s">
        <v>4291</v>
      </c>
      <c r="T726" s="500">
        <v>1</v>
      </c>
      <c r="U726" s="1879" t="s">
        <v>4292</v>
      </c>
      <c r="V726" s="504">
        <v>45656</v>
      </c>
      <c r="W726" s="498" t="s">
        <v>1477</v>
      </c>
      <c r="X726" s="498" t="s">
        <v>1154</v>
      </c>
      <c r="Y726" s="1490"/>
      <c r="Z726" s="1490"/>
    </row>
    <row r="727" spans="1:26" s="498" customFormat="1" ht="12" customHeight="1">
      <c r="A727" s="1911" t="s">
        <v>3555</v>
      </c>
      <c r="B727" s="498" t="s">
        <v>264</v>
      </c>
      <c r="C727" s="1788">
        <v>45871</v>
      </c>
      <c r="D727" s="1788">
        <v>45885</v>
      </c>
      <c r="E727" s="498" t="s">
        <v>3556</v>
      </c>
      <c r="G727" s="500" t="s">
        <v>3557</v>
      </c>
      <c r="H727" s="498" t="s">
        <v>3558</v>
      </c>
      <c r="I727" s="498" t="s">
        <v>18</v>
      </c>
      <c r="J727" s="498" t="s">
        <v>1023</v>
      </c>
      <c r="K727" s="688" t="s">
        <v>3559</v>
      </c>
      <c r="L727" s="498" t="s">
        <v>3560</v>
      </c>
      <c r="N727" s="501" t="s">
        <v>3561</v>
      </c>
      <c r="O727" s="1040">
        <f>2490*2+70+2*3*14</f>
        <v>5134</v>
      </c>
      <c r="Q727" s="498" t="s">
        <v>4581</v>
      </c>
      <c r="R727" s="894">
        <v>2</v>
      </c>
      <c r="S727" s="500">
        <v>4</v>
      </c>
      <c r="T727" s="500">
        <v>2</v>
      </c>
      <c r="U727" s="1912" t="s">
        <v>4157</v>
      </c>
      <c r="V727" s="504">
        <v>45525</v>
      </c>
      <c r="W727" s="498" t="s">
        <v>4158</v>
      </c>
      <c r="X727" s="498" t="s">
        <v>1154</v>
      </c>
      <c r="Y727" s="1490"/>
      <c r="Z727" s="1490"/>
    </row>
    <row r="728" spans="1:26" s="1549" customFormat="1" ht="12" customHeight="1">
      <c r="A728" s="1549" t="s">
        <v>527</v>
      </c>
      <c r="B728" s="1549" t="s">
        <v>693</v>
      </c>
      <c r="C728" s="1981">
        <v>45885</v>
      </c>
      <c r="D728" s="1981">
        <v>45899</v>
      </c>
      <c r="E728" s="1549" t="s">
        <v>1787</v>
      </c>
      <c r="G728" s="1982" t="s">
        <v>1788</v>
      </c>
      <c r="H728" s="1549" t="s">
        <v>1789</v>
      </c>
      <c r="I728" s="1549" t="s">
        <v>18</v>
      </c>
      <c r="J728" s="1549" t="s">
        <v>51</v>
      </c>
      <c r="L728" s="1549" t="s">
        <v>1790</v>
      </c>
      <c r="M728" s="2002" t="s">
        <v>1791</v>
      </c>
      <c r="N728" s="2052" t="s">
        <v>2110</v>
      </c>
      <c r="O728" s="1990">
        <f>2490*2+70</f>
        <v>5050</v>
      </c>
      <c r="P728" s="1549" t="s">
        <v>4144</v>
      </c>
      <c r="Q728" s="1985" t="s">
        <v>4586</v>
      </c>
      <c r="R728" s="1982">
        <v>2</v>
      </c>
      <c r="S728" s="1982">
        <v>1</v>
      </c>
      <c r="T728" s="2053"/>
      <c r="U728" s="1987" t="s">
        <v>4186</v>
      </c>
      <c r="V728" s="1987" t="s">
        <v>4176</v>
      </c>
      <c r="W728" s="1549" t="s">
        <v>4177</v>
      </c>
      <c r="X728" s="1549" t="s">
        <v>1154</v>
      </c>
      <c r="Y728" s="1998"/>
      <c r="Z728" s="1998"/>
    </row>
    <row r="729" spans="1:26" s="498" customFormat="1" ht="12" customHeight="1">
      <c r="A729" s="498" t="s">
        <v>4226</v>
      </c>
      <c r="B729" s="498" t="s">
        <v>4225</v>
      </c>
      <c r="C729" s="499">
        <v>45899</v>
      </c>
      <c r="D729" s="499">
        <v>45906</v>
      </c>
      <c r="G729" s="500"/>
      <c r="I729" s="498" t="s">
        <v>18</v>
      </c>
      <c r="J729" s="498" t="s">
        <v>51</v>
      </c>
      <c r="M729" s="868"/>
      <c r="N729" s="2054" t="s">
        <v>4227</v>
      </c>
      <c r="O729" s="1040">
        <f>2190+70+21</f>
        <v>2281</v>
      </c>
      <c r="Q729" s="894" t="s">
        <v>4228</v>
      </c>
      <c r="R729" s="500">
        <v>1</v>
      </c>
      <c r="S729" s="500">
        <v>2</v>
      </c>
      <c r="T729" s="1963">
        <v>1</v>
      </c>
      <c r="U729" s="498" t="s">
        <v>4236</v>
      </c>
      <c r="V729" s="504">
        <v>45607</v>
      </c>
      <c r="W729" s="498" t="s">
        <v>1477</v>
      </c>
      <c r="X729" s="498" t="s">
        <v>1154</v>
      </c>
      <c r="Y729" s="1490"/>
      <c r="Z729" s="1490"/>
    </row>
    <row r="730" spans="1:26" s="1549" customFormat="1" ht="12" customHeight="1">
      <c r="A730" s="1549" t="s">
        <v>4113</v>
      </c>
      <c r="B730" s="1549" t="s">
        <v>1453</v>
      </c>
      <c r="C730" s="1981">
        <v>45906</v>
      </c>
      <c r="D730" s="1981">
        <v>45920</v>
      </c>
      <c r="E730" s="1995" t="s">
        <v>4109</v>
      </c>
      <c r="G730" s="1982" t="s">
        <v>4111</v>
      </c>
      <c r="H730" s="1549" t="s">
        <v>4110</v>
      </c>
      <c r="I730" s="1549" t="s">
        <v>18</v>
      </c>
      <c r="J730" s="1549" t="s">
        <v>1023</v>
      </c>
      <c r="L730" s="1995" t="s">
        <v>4114</v>
      </c>
      <c r="N730" s="1983" t="s">
        <v>4112</v>
      </c>
      <c r="O730" s="1990">
        <f>2090+1590+42+70</f>
        <v>3792</v>
      </c>
      <c r="Q730" s="1549" t="s">
        <v>4638</v>
      </c>
      <c r="R730" s="1985">
        <v>2</v>
      </c>
      <c r="S730" s="1982">
        <v>4</v>
      </c>
      <c r="T730" s="1982">
        <v>1</v>
      </c>
      <c r="U730" s="2056" t="s">
        <v>4115</v>
      </c>
      <c r="V730" s="1987">
        <v>45523</v>
      </c>
      <c r="W730" s="1549" t="s">
        <v>1477</v>
      </c>
      <c r="X730" s="1549" t="s">
        <v>1154</v>
      </c>
      <c r="Y730" s="1998"/>
      <c r="Z730" s="1998"/>
    </row>
    <row r="731" spans="1:26" s="498" customFormat="1" ht="12" customHeight="1">
      <c r="A731" s="498" t="s">
        <v>4415</v>
      </c>
      <c r="B731" s="498" t="s">
        <v>264</v>
      </c>
      <c r="C731" s="499">
        <v>45920</v>
      </c>
      <c r="D731" s="499">
        <v>45927</v>
      </c>
      <c r="E731" s="498" t="s">
        <v>4416</v>
      </c>
      <c r="G731" s="2066" t="s">
        <v>4417</v>
      </c>
      <c r="H731" s="498" t="s">
        <v>4421</v>
      </c>
      <c r="I731" s="498" t="s">
        <v>18</v>
      </c>
      <c r="J731" s="498" t="s">
        <v>51</v>
      </c>
      <c r="L731" s="498" t="s">
        <v>4418</v>
      </c>
      <c r="N731" s="501" t="s">
        <v>4420</v>
      </c>
      <c r="O731" s="359">
        <v>1590</v>
      </c>
      <c r="Q731" s="498" t="s">
        <v>4419</v>
      </c>
      <c r="R731" s="1490">
        <v>1</v>
      </c>
      <c r="S731" s="500" t="s">
        <v>4423</v>
      </c>
      <c r="T731" s="500">
        <v>2</v>
      </c>
      <c r="U731" s="1490" t="s">
        <v>4424</v>
      </c>
      <c r="V731" s="504">
        <v>45834</v>
      </c>
      <c r="W731" s="498" t="s">
        <v>1665</v>
      </c>
      <c r="X731" s="498" t="s">
        <v>1154</v>
      </c>
      <c r="Y731" s="1490"/>
      <c r="Z731" s="1490">
        <v>2400</v>
      </c>
    </row>
    <row r="732" spans="1:26" s="2068" customFormat="1" ht="12" customHeight="1">
      <c r="A732" s="2068" t="s">
        <v>4208</v>
      </c>
      <c r="B732" s="2068" t="s">
        <v>2287</v>
      </c>
      <c r="C732" s="2069">
        <v>45927</v>
      </c>
      <c r="D732" s="2069">
        <v>45941</v>
      </c>
      <c r="E732" s="2070" t="s">
        <v>4210</v>
      </c>
      <c r="G732" s="2071" t="s">
        <v>4211</v>
      </c>
      <c r="H732" s="2068" t="s">
        <v>4212</v>
      </c>
      <c r="I732" s="2068" t="s">
        <v>18</v>
      </c>
      <c r="J732" s="2068" t="s">
        <v>51</v>
      </c>
      <c r="L732" s="2070" t="s">
        <v>4213</v>
      </c>
      <c r="N732" s="2072" t="s">
        <v>4209</v>
      </c>
      <c r="O732" s="2073">
        <f>1290*2+70+3*2*14-154</f>
        <v>2580</v>
      </c>
      <c r="Q732" s="2078" t="s">
        <v>4728</v>
      </c>
      <c r="R732" s="2074">
        <v>2</v>
      </c>
      <c r="S732" s="2071">
        <v>3</v>
      </c>
      <c r="T732" s="2071">
        <v>2</v>
      </c>
      <c r="U732" s="2075" t="s">
        <v>4214</v>
      </c>
      <c r="V732" s="2076">
        <v>45593</v>
      </c>
      <c r="W732" s="2068" t="s">
        <v>1477</v>
      </c>
      <c r="X732" s="2068" t="s">
        <v>1154</v>
      </c>
      <c r="Y732" s="2173"/>
      <c r="Z732" s="2173"/>
    </row>
    <row r="733" spans="1:26" s="498" customFormat="1" ht="12" customHeight="1">
      <c r="A733" s="498" t="s">
        <v>4485</v>
      </c>
      <c r="B733" s="498" t="s">
        <v>4484</v>
      </c>
      <c r="C733" s="499">
        <v>45941</v>
      </c>
      <c r="D733" s="499">
        <v>45955</v>
      </c>
      <c r="E733" s="938" t="s">
        <v>4486</v>
      </c>
      <c r="G733" s="500" t="s">
        <v>4487</v>
      </c>
      <c r="H733" s="498" t="s">
        <v>4488</v>
      </c>
      <c r="I733" s="498" t="s">
        <v>18</v>
      </c>
      <c r="J733" s="498" t="s">
        <v>51</v>
      </c>
      <c r="L733" s="938" t="s">
        <v>4489</v>
      </c>
      <c r="N733" s="501" t="s">
        <v>4490</v>
      </c>
      <c r="O733" s="1040">
        <f>1290*2+70+1*3*14</f>
        <v>2692</v>
      </c>
      <c r="Q733" s="498" t="s">
        <v>4727</v>
      </c>
      <c r="R733" s="894">
        <v>2</v>
      </c>
      <c r="S733" s="500">
        <v>3</v>
      </c>
      <c r="T733" s="500">
        <v>1</v>
      </c>
      <c r="U733" s="2077" t="s">
        <v>4501</v>
      </c>
      <c r="V733" s="504">
        <v>45753</v>
      </c>
      <c r="W733" s="498" t="s">
        <v>1477</v>
      </c>
      <c r="X733" s="498" t="s">
        <v>1154</v>
      </c>
      <c r="Y733" s="1490"/>
      <c r="Z733" s="1490"/>
    </row>
    <row r="734" spans="1:26" s="498" customFormat="1" ht="12" customHeight="1">
      <c r="A734" s="498" t="s">
        <v>4511</v>
      </c>
      <c r="B734" s="498" t="s">
        <v>4512</v>
      </c>
      <c r="C734" s="499">
        <v>45955</v>
      </c>
      <c r="D734" s="499">
        <v>45962</v>
      </c>
      <c r="E734" s="938" t="s">
        <v>4513</v>
      </c>
      <c r="G734" s="500" t="s">
        <v>4514</v>
      </c>
      <c r="H734" s="498" t="s">
        <v>4515</v>
      </c>
      <c r="I734" s="498" t="s">
        <v>168</v>
      </c>
      <c r="J734" s="498" t="s">
        <v>51</v>
      </c>
      <c r="L734" s="938" t="s">
        <v>4516</v>
      </c>
      <c r="N734" s="501" t="s">
        <v>4517</v>
      </c>
      <c r="O734" s="1040">
        <f>1090+70+3*3*7</f>
        <v>1223</v>
      </c>
      <c r="Q734" s="498" t="s">
        <v>4731</v>
      </c>
      <c r="R734" s="894">
        <v>1</v>
      </c>
      <c r="S734" s="500">
        <v>2</v>
      </c>
      <c r="T734" s="500">
        <v>3</v>
      </c>
      <c r="U734" s="2077" t="s">
        <v>4521</v>
      </c>
      <c r="V734" s="504">
        <v>45777</v>
      </c>
      <c r="W734" s="498" t="s">
        <v>1665</v>
      </c>
      <c r="X734" s="498" t="s">
        <v>1154</v>
      </c>
      <c r="Y734" s="1490"/>
      <c r="Z734" s="1490"/>
    </row>
    <row r="735" spans="1:26" s="498" customFormat="1" ht="12" customHeight="1">
      <c r="A735" s="498" t="s">
        <v>4694</v>
      </c>
      <c r="B735" s="498" t="s">
        <v>4695</v>
      </c>
      <c r="C735" s="499">
        <v>45969</v>
      </c>
      <c r="D735" s="499">
        <v>45976</v>
      </c>
      <c r="E735" s="938" t="s">
        <v>4710</v>
      </c>
      <c r="G735" s="500">
        <v>69370</v>
      </c>
      <c r="H735" s="498" t="s">
        <v>4696</v>
      </c>
      <c r="I735" s="498" t="s">
        <v>23</v>
      </c>
      <c r="J735" s="498" t="s">
        <v>19</v>
      </c>
      <c r="L735" s="938" t="s">
        <v>4697</v>
      </c>
      <c r="N735" s="501" t="s">
        <v>4698</v>
      </c>
      <c r="O735" s="1040">
        <f>1090+70+2*3*7</f>
        <v>1202</v>
      </c>
      <c r="Q735" s="498" t="s">
        <v>4771</v>
      </c>
      <c r="R735" s="894">
        <v>1</v>
      </c>
      <c r="S735" s="500">
        <v>4</v>
      </c>
      <c r="T735" s="500">
        <v>2</v>
      </c>
      <c r="U735" s="2077" t="s">
        <v>4699</v>
      </c>
      <c r="V735" s="504">
        <v>45916</v>
      </c>
      <c r="W735" s="498" t="s">
        <v>1665</v>
      </c>
      <c r="X735" s="498" t="s">
        <v>1154</v>
      </c>
      <c r="Y735" s="1490"/>
      <c r="Z735" s="1490"/>
    </row>
    <row r="736" spans="1:26" s="2063" customFormat="1" ht="12" customHeight="1">
      <c r="A736" s="498" t="s">
        <v>4708</v>
      </c>
      <c r="B736" s="498" t="s">
        <v>4709</v>
      </c>
      <c r="C736" s="499">
        <v>45977</v>
      </c>
      <c r="D736" s="499">
        <v>45989</v>
      </c>
      <c r="E736" s="938" t="s">
        <v>4711</v>
      </c>
      <c r="F736" s="498"/>
      <c r="G736" s="500" t="s">
        <v>4712</v>
      </c>
      <c r="H736" s="498" t="s">
        <v>4713</v>
      </c>
      <c r="I736" s="498" t="s">
        <v>18</v>
      </c>
      <c r="J736" s="498" t="s">
        <v>51</v>
      </c>
      <c r="K736" s="498"/>
      <c r="L736" s="938" t="s">
        <v>4714</v>
      </c>
      <c r="M736" s="498"/>
      <c r="N736" s="501" t="s">
        <v>4715</v>
      </c>
      <c r="O736" s="1036">
        <f>1090*2</f>
        <v>2180</v>
      </c>
      <c r="Q736" s="498" t="s">
        <v>4785</v>
      </c>
      <c r="R736" s="894">
        <v>2</v>
      </c>
      <c r="S736" s="500">
        <v>3</v>
      </c>
      <c r="T736" s="500">
        <v>1</v>
      </c>
      <c r="U736" s="2077" t="s">
        <v>4724</v>
      </c>
      <c r="V736" s="504">
        <v>45923</v>
      </c>
      <c r="W736" s="498" t="s">
        <v>1477</v>
      </c>
      <c r="X736" s="498" t="s">
        <v>1154</v>
      </c>
      <c r="Y736" s="2125"/>
      <c r="Z736" s="2125"/>
    </row>
    <row r="737" spans="1:26" s="498" customFormat="1" ht="12" customHeight="1">
      <c r="A737" s="498" t="s">
        <v>2406</v>
      </c>
      <c r="B737" s="498" t="s">
        <v>4834</v>
      </c>
      <c r="C737" s="499">
        <v>46018</v>
      </c>
      <c r="D737" s="499">
        <v>46025</v>
      </c>
      <c r="E737" s="498" t="s">
        <v>2408</v>
      </c>
      <c r="G737" s="500" t="s">
        <v>2409</v>
      </c>
      <c r="H737" s="498" t="s">
        <v>2410</v>
      </c>
      <c r="I737" s="498" t="s">
        <v>18</v>
      </c>
      <c r="J737" s="498" t="s">
        <v>51</v>
      </c>
      <c r="K737" s="498" t="s">
        <v>2412</v>
      </c>
      <c r="L737" s="498" t="s">
        <v>2413</v>
      </c>
      <c r="N737" s="501" t="s">
        <v>2414</v>
      </c>
      <c r="O737" s="1040">
        <f>1852</f>
        <v>1852</v>
      </c>
      <c r="Q737" s="498" t="s">
        <v>4307</v>
      </c>
      <c r="R737" s="894">
        <v>1</v>
      </c>
      <c r="S737" s="500">
        <v>2</v>
      </c>
      <c r="T737" s="500">
        <v>3</v>
      </c>
      <c r="U737" s="1879" t="s">
        <v>4312</v>
      </c>
      <c r="V737" s="504">
        <v>45081</v>
      </c>
      <c r="W737" s="498" t="s">
        <v>4293</v>
      </c>
      <c r="X737" s="498" t="s">
        <v>1154</v>
      </c>
      <c r="Y737" s="1490" t="s">
        <v>3523</v>
      </c>
      <c r="Z737" s="1490"/>
    </row>
    <row r="738" spans="1:26" ht="12" customHeight="1">
      <c r="N738" s="1103"/>
      <c r="O738" s="1108"/>
      <c r="U738" s="1894"/>
    </row>
    <row r="739" spans="1:26" ht="12" customHeight="1">
      <c r="N739" s="1103"/>
      <c r="O739" s="1108"/>
      <c r="U739" s="1894">
        <f>1090+2*3*7+70-272</f>
        <v>930</v>
      </c>
    </row>
    <row r="740" spans="1:26" ht="12" customHeight="1">
      <c r="N740" s="1103"/>
      <c r="O740" s="1108"/>
      <c r="U740" s="1894"/>
    </row>
    <row r="741" spans="1:26" s="407" customFormat="1" ht="12" customHeight="1" thickBot="1">
      <c r="C741" s="997"/>
      <c r="D741" s="997"/>
      <c r="E741" s="347"/>
      <c r="G741" s="999"/>
      <c r="H741" s="998"/>
      <c r="I741" s="2010"/>
      <c r="J741" s="2010"/>
      <c r="K741" s="2010"/>
      <c r="L741" s="1538"/>
      <c r="M741" s="2010"/>
      <c r="N741" s="1121"/>
      <c r="O741" s="2011"/>
      <c r="P741" s="2010"/>
      <c r="Q741" s="2010"/>
      <c r="R741" s="2012"/>
      <c r="S741" s="2013"/>
      <c r="T741" s="2013"/>
      <c r="U741" s="2049"/>
      <c r="V741" s="2015"/>
      <c r="Y741" s="1519"/>
      <c r="Z741" s="1519"/>
    </row>
    <row r="742" spans="1:26" s="407" customFormat="1" ht="12" customHeight="1" thickBot="1">
      <c r="A742" s="18" t="s">
        <v>4029</v>
      </c>
      <c r="B742" s="1050">
        <f>SUM(O713:O746)</f>
        <v>62170</v>
      </c>
      <c r="C742" s="826">
        <f>B742/B701</f>
        <v>0.81547259896639468</v>
      </c>
      <c r="D742" s="1584" t="s">
        <v>574</v>
      </c>
      <c r="E742" s="1585">
        <f>SUM(E744:E751)</f>
        <v>3594.6400000000003</v>
      </c>
      <c r="G742" s="999"/>
      <c r="H742" s="998"/>
      <c r="I742" s="2010"/>
      <c r="J742" s="2010"/>
      <c r="K742" s="2010"/>
      <c r="L742" s="1538"/>
      <c r="M742" s="2010"/>
      <c r="N742" s="1121"/>
      <c r="O742" s="1519"/>
      <c r="P742" s="2010"/>
      <c r="Q742" s="2010"/>
      <c r="R742" s="2012"/>
      <c r="S742" s="2013"/>
      <c r="T742" s="2013"/>
      <c r="U742" s="2049"/>
      <c r="V742" s="2015"/>
      <c r="Y742" s="1519"/>
      <c r="Z742" s="1519"/>
    </row>
    <row r="743" spans="1:26" s="407" customFormat="1" ht="12" customHeight="1" thickBot="1">
      <c r="A743" s="768" t="s">
        <v>463</v>
      </c>
      <c r="B743" s="827">
        <f>SUM(R713:R742)</f>
        <v>36</v>
      </c>
      <c r="C743" s="1576">
        <f>B742/B743</f>
        <v>1726.9444444444443</v>
      </c>
      <c r="D743" s="2096" t="s">
        <v>4823</v>
      </c>
      <c r="E743" s="2097">
        <v>167.16</v>
      </c>
      <c r="I743" s="2010"/>
      <c r="J743" s="2010"/>
      <c r="K743" s="2010"/>
      <c r="L743" s="1538"/>
      <c r="M743" s="2010"/>
      <c r="N743" s="1121"/>
      <c r="O743" s="2011"/>
      <c r="P743" s="2010"/>
      <c r="Q743" s="2010"/>
      <c r="R743" s="2012"/>
      <c r="S743" s="2013"/>
      <c r="T743" s="2013"/>
      <c r="U743" s="2049">
        <f>3</f>
        <v>3</v>
      </c>
      <c r="V743" s="2015"/>
      <c r="Y743" s="2174" t="s">
        <v>4725</v>
      </c>
      <c r="Z743" s="2177">
        <f>SUM(Z715:Z737)</f>
        <v>10628</v>
      </c>
    </row>
    <row r="744" spans="1:26" s="407" customFormat="1" ht="12" customHeight="1" thickBot="1">
      <c r="A744" s="7"/>
      <c r="B744" s="7"/>
      <c r="C744" s="29"/>
      <c r="D744" s="2089" t="s">
        <v>575</v>
      </c>
      <c r="E744" s="2090"/>
      <c r="G744" s="999"/>
      <c r="H744" s="371"/>
      <c r="I744" s="2010"/>
      <c r="J744" s="2010"/>
      <c r="K744" s="2010"/>
      <c r="L744" s="1538"/>
      <c r="M744" s="2010"/>
      <c r="N744" s="1121"/>
      <c r="O744" s="2011"/>
      <c r="P744" s="2010"/>
      <c r="Q744" s="2010"/>
      <c r="R744" s="2012"/>
      <c r="S744" s="2013"/>
      <c r="T744" s="2013"/>
      <c r="U744" s="2049">
        <f>381+1471</f>
        <v>1852</v>
      </c>
      <c r="V744" s="2015"/>
      <c r="Y744" s="1519"/>
      <c r="Z744" s="1519"/>
    </row>
    <row r="745" spans="1:26" s="407" customFormat="1" ht="12" customHeight="1" thickBot="1">
      <c r="A745" s="18" t="s">
        <v>464</v>
      </c>
      <c r="B745" s="917">
        <v>0</v>
      </c>
      <c r="C745" s="29"/>
      <c r="D745" s="2089" t="s">
        <v>576</v>
      </c>
      <c r="E745" s="2090"/>
      <c r="G745" s="999"/>
      <c r="H745" s="998"/>
      <c r="I745" s="2010"/>
      <c r="J745" s="2010"/>
      <c r="K745" s="2010"/>
      <c r="L745" s="1538"/>
      <c r="M745" s="2010"/>
      <c r="N745" s="1121"/>
      <c r="O745" s="2011"/>
      <c r="P745" s="2010"/>
      <c r="Q745" s="2010"/>
      <c r="R745" s="2012"/>
      <c r="S745" s="2013"/>
      <c r="T745" s="2013"/>
      <c r="U745" s="2049"/>
      <c r="V745" s="2015"/>
      <c r="Y745" s="1519"/>
      <c r="Z745" s="1519"/>
    </row>
    <row r="746" spans="1:26" s="407" customFormat="1" ht="12" customHeight="1" thickBot="1">
      <c r="A746" s="852" t="s">
        <v>574</v>
      </c>
      <c r="B746" s="853">
        <f>E742</f>
        <v>3594.6400000000003</v>
      </c>
      <c r="C746" s="29"/>
      <c r="D746" s="2091" t="s">
        <v>4744</v>
      </c>
      <c r="E746" s="2092"/>
      <c r="G746" s="132" t="s">
        <v>4745</v>
      </c>
      <c r="H746" s="998"/>
      <c r="I746" s="2010"/>
      <c r="J746" s="2010"/>
      <c r="K746" s="2010"/>
      <c r="L746" s="1538"/>
      <c r="M746" s="2010"/>
      <c r="N746" s="1121"/>
      <c r="O746" s="2011"/>
      <c r="P746" s="2010"/>
      <c r="Q746" s="2010"/>
      <c r="R746" s="2012"/>
      <c r="S746" s="2013"/>
      <c r="T746" s="2013"/>
      <c r="U746" s="2049"/>
      <c r="V746" s="2015"/>
      <c r="Y746" s="1519"/>
      <c r="Z746" s="1519"/>
    </row>
    <row r="747" spans="1:26" s="407" customFormat="1" ht="12" customHeight="1">
      <c r="A747" s="510" t="s">
        <v>1534</v>
      </c>
      <c r="B747" s="854">
        <f>B742-B745-B746</f>
        <v>58575.360000000001</v>
      </c>
      <c r="C747" s="29"/>
      <c r="D747" s="2089" t="s">
        <v>1304</v>
      </c>
      <c r="E747" s="2090"/>
      <c r="G747" s="999"/>
      <c r="H747" s="998"/>
      <c r="I747" s="2010"/>
      <c r="J747" s="2010"/>
      <c r="K747" s="2010"/>
      <c r="L747" s="1538"/>
      <c r="M747" s="2010"/>
      <c r="N747" s="1121"/>
      <c r="O747" s="2011"/>
      <c r="P747" s="2010"/>
      <c r="Q747" s="2010"/>
      <c r="R747" s="2012"/>
      <c r="S747" s="2013"/>
      <c r="T747" s="2013"/>
      <c r="U747" s="2049"/>
      <c r="V747" s="2015"/>
      <c r="Y747" s="1519"/>
      <c r="Z747" s="1519"/>
    </row>
    <row r="748" spans="1:26" ht="12" customHeight="1" thickBot="1">
      <c r="A748" s="768" t="s">
        <v>466</v>
      </c>
      <c r="B748" s="800">
        <f>B747/12</f>
        <v>4881.28</v>
      </c>
      <c r="C748" s="29"/>
      <c r="D748" s="2098" t="s">
        <v>2525</v>
      </c>
      <c r="E748" s="2099">
        <v>548</v>
      </c>
      <c r="F748" s="407"/>
      <c r="G748" s="999"/>
      <c r="H748" s="998" t="s">
        <v>4838</v>
      </c>
      <c r="K748" s="15"/>
      <c r="N748" s="49"/>
      <c r="O748" s="1035"/>
      <c r="U748" s="2050"/>
    </row>
    <row r="749" spans="1:26" ht="12" customHeight="1">
      <c r="D749" s="2089" t="s">
        <v>4700</v>
      </c>
      <c r="E749" s="2090">
        <v>901</v>
      </c>
    </row>
    <row r="750" spans="1:26" ht="12" customHeight="1">
      <c r="D750" s="2089" t="s">
        <v>4308</v>
      </c>
      <c r="E750" s="2090">
        <v>976</v>
      </c>
    </row>
    <row r="751" spans="1:26" ht="12" customHeight="1">
      <c r="D751" s="2093" t="s">
        <v>4493</v>
      </c>
      <c r="E751" s="2094">
        <v>1169.6400000000001</v>
      </c>
    </row>
    <row r="752" spans="1:26" ht="12" customHeight="1">
      <c r="D752" s="31" t="s">
        <v>4311</v>
      </c>
      <c r="E752" s="132">
        <v>2073</v>
      </c>
      <c r="G752" s="132">
        <v>207</v>
      </c>
    </row>
    <row r="753" spans="1:26" ht="12" customHeight="1">
      <c r="A753" s="1002" t="s">
        <v>4389</v>
      </c>
    </row>
    <row r="754" spans="1:26" ht="12" customHeight="1">
      <c r="A754" s="870"/>
      <c r="B754" s="2067"/>
    </row>
    <row r="755" spans="1:26" s="498" customFormat="1" ht="12" customHeight="1">
      <c r="A755" s="1615" t="s">
        <v>4824</v>
      </c>
      <c r="B755" s="2111" t="s">
        <v>4825</v>
      </c>
      <c r="C755" s="499">
        <v>46028</v>
      </c>
      <c r="D755" s="499">
        <v>46040</v>
      </c>
      <c r="E755" s="498" t="s">
        <v>4826</v>
      </c>
      <c r="G755" s="500" t="s">
        <v>4827</v>
      </c>
      <c r="H755" s="498" t="s">
        <v>4828</v>
      </c>
      <c r="I755" s="498" t="s">
        <v>18</v>
      </c>
      <c r="J755" s="498" t="s">
        <v>51</v>
      </c>
      <c r="L755" s="498" t="s">
        <v>4829</v>
      </c>
      <c r="N755" s="501" t="s">
        <v>4830</v>
      </c>
      <c r="O755" s="2112">
        <f>1090*2+70</f>
        <v>2250</v>
      </c>
      <c r="Q755" s="498" t="s">
        <v>4850</v>
      </c>
      <c r="R755" s="894">
        <v>2</v>
      </c>
      <c r="S755" s="500">
        <v>2</v>
      </c>
      <c r="T755" s="500">
        <v>2</v>
      </c>
      <c r="U755" s="2113" t="s">
        <v>4836</v>
      </c>
      <c r="V755" s="504">
        <v>45993</v>
      </c>
      <c r="W755" s="498" t="s">
        <v>1477</v>
      </c>
      <c r="X755" s="498" t="s">
        <v>1154</v>
      </c>
      <c r="Y755" s="1490"/>
      <c r="Z755" s="1490"/>
    </row>
    <row r="756" spans="1:26" ht="12" customHeight="1">
      <c r="A756" s="870"/>
    </row>
    <row r="757" spans="1:26" s="1003" customFormat="1" ht="12" customHeight="1">
      <c r="A757" s="2136" t="s">
        <v>3782</v>
      </c>
      <c r="B757" s="1003" t="s">
        <v>3783</v>
      </c>
      <c r="C757" s="1004">
        <v>46109</v>
      </c>
      <c r="D757" s="1004">
        <v>46116</v>
      </c>
      <c r="E757" s="1003" t="s">
        <v>3784</v>
      </c>
      <c r="G757" s="1005" t="s">
        <v>3785</v>
      </c>
      <c r="H757" s="1003" t="s">
        <v>3786</v>
      </c>
      <c r="I757" s="1003" t="s">
        <v>3787</v>
      </c>
      <c r="J757" s="1003" t="s">
        <v>19</v>
      </c>
      <c r="K757" s="1006" t="s">
        <v>3788</v>
      </c>
      <c r="L757" s="1003" t="s">
        <v>3789</v>
      </c>
      <c r="N757" s="1429" t="s">
        <v>3790</v>
      </c>
      <c r="O757" s="1192">
        <v>0</v>
      </c>
      <c r="Q757" s="1003" t="s">
        <v>4733</v>
      </c>
      <c r="R757" s="1193">
        <v>0</v>
      </c>
      <c r="S757" s="1005">
        <v>3</v>
      </c>
      <c r="T757" s="1005">
        <v>2</v>
      </c>
      <c r="U757" s="2080" t="s">
        <v>4657</v>
      </c>
      <c r="V757" s="1010">
        <v>45907</v>
      </c>
      <c r="W757" s="1003" t="s">
        <v>4533</v>
      </c>
      <c r="X757" s="1003" t="s">
        <v>1154</v>
      </c>
      <c r="Y757" s="1499"/>
      <c r="Z757" s="1499"/>
    </row>
    <row r="758" spans="1:26" s="498" customFormat="1" ht="12" customHeight="1">
      <c r="A758" s="1615" t="s">
        <v>4564</v>
      </c>
      <c r="B758" s="498" t="s">
        <v>1083</v>
      </c>
      <c r="C758" s="499">
        <v>46116</v>
      </c>
      <c r="D758" s="499">
        <v>46130</v>
      </c>
      <c r="E758" s="498" t="s">
        <v>4565</v>
      </c>
      <c r="G758" s="500" t="s">
        <v>4566</v>
      </c>
      <c r="H758" s="498" t="s">
        <v>4567</v>
      </c>
      <c r="I758" s="498" t="s">
        <v>18</v>
      </c>
      <c r="J758" s="498" t="s">
        <v>51</v>
      </c>
      <c r="L758" s="498" t="s">
        <v>4568</v>
      </c>
      <c r="N758" s="501" t="s">
        <v>4569</v>
      </c>
      <c r="O758" s="2112">
        <f>1390*2+168</f>
        <v>2948</v>
      </c>
      <c r="Q758" s="498" t="s">
        <v>4570</v>
      </c>
      <c r="R758" s="894">
        <v>2</v>
      </c>
      <c r="S758" s="500">
        <v>3</v>
      </c>
      <c r="T758" s="500">
        <v>4</v>
      </c>
      <c r="U758" s="2124">
        <f>O758/4</f>
        <v>737</v>
      </c>
      <c r="V758" s="504">
        <v>45838</v>
      </c>
      <c r="W758" s="498" t="s">
        <v>1665</v>
      </c>
      <c r="X758" s="498" t="s">
        <v>1154</v>
      </c>
      <c r="Y758" s="1490"/>
      <c r="Z758" s="1490"/>
    </row>
    <row r="759" spans="1:26" s="498" customFormat="1" ht="12" customHeight="1">
      <c r="A759" s="1615" t="s">
        <v>4965</v>
      </c>
      <c r="B759" s="498" t="s">
        <v>4966</v>
      </c>
      <c r="C759" s="499">
        <v>46130</v>
      </c>
      <c r="D759" s="499">
        <v>46137</v>
      </c>
      <c r="G759" s="500"/>
      <c r="I759" s="498" t="s">
        <v>54</v>
      </c>
      <c r="J759" s="498" t="s">
        <v>19</v>
      </c>
      <c r="L759" s="498" t="s">
        <v>4997</v>
      </c>
      <c r="N759" s="501" t="s">
        <v>4967</v>
      </c>
      <c r="O759" s="2112">
        <f>350+1131</f>
        <v>1481</v>
      </c>
      <c r="Q759" s="498" t="s">
        <v>4995</v>
      </c>
      <c r="R759" s="894">
        <v>1</v>
      </c>
      <c r="S759" s="500">
        <v>2</v>
      </c>
      <c r="T759" s="500" t="s">
        <v>4996</v>
      </c>
      <c r="U759" s="2124" t="s">
        <v>4974</v>
      </c>
      <c r="V759" s="504">
        <v>46082</v>
      </c>
      <c r="W759" s="498" t="s">
        <v>1665</v>
      </c>
      <c r="X759" s="498" t="s">
        <v>1154</v>
      </c>
      <c r="Y759" s="1490"/>
      <c r="Z759" s="1490"/>
    </row>
    <row r="760" spans="1:26" s="498" customFormat="1" ht="12" customHeight="1">
      <c r="A760" s="498" t="s">
        <v>4556</v>
      </c>
      <c r="B760" s="498" t="s">
        <v>4557</v>
      </c>
      <c r="C760" s="499">
        <v>46144</v>
      </c>
      <c r="D760" s="499">
        <v>46151</v>
      </c>
      <c r="E760" s="498" t="s">
        <v>4558</v>
      </c>
      <c r="G760" s="500" t="s">
        <v>4559</v>
      </c>
      <c r="H760" s="498" t="s">
        <v>4560</v>
      </c>
      <c r="I760" s="498" t="s">
        <v>18</v>
      </c>
      <c r="J760" s="498" t="s">
        <v>51</v>
      </c>
      <c r="L760" s="498" t="s">
        <v>4561</v>
      </c>
      <c r="N760" s="501" t="s">
        <v>4562</v>
      </c>
      <c r="O760" s="2112">
        <f>1590+21+70</f>
        <v>1681</v>
      </c>
      <c r="Q760" s="498" t="s">
        <v>5000</v>
      </c>
      <c r="R760" s="894">
        <v>1</v>
      </c>
      <c r="S760" s="500">
        <v>2</v>
      </c>
      <c r="T760" s="500">
        <v>1</v>
      </c>
      <c r="U760" s="2113" t="s">
        <v>4571</v>
      </c>
      <c r="V760" s="504">
        <v>45837</v>
      </c>
      <c r="W760" s="498" t="s">
        <v>1477</v>
      </c>
      <c r="X760" s="498" t="s">
        <v>1154</v>
      </c>
      <c r="Y760" s="1490"/>
      <c r="Z760" s="1490"/>
    </row>
    <row r="761" spans="1:26" s="1620" customFormat="1" ht="12" customHeight="1">
      <c r="A761" s="2045" t="s">
        <v>614</v>
      </c>
      <c r="B761" s="1620" t="s">
        <v>3032</v>
      </c>
      <c r="C761" s="1621">
        <v>46151</v>
      </c>
      <c r="D761" s="1621">
        <v>46165</v>
      </c>
      <c r="E761" s="1620" t="s">
        <v>3033</v>
      </c>
      <c r="G761" s="1622" t="s">
        <v>3034</v>
      </c>
      <c r="H761" s="1620" t="s">
        <v>3035</v>
      </c>
      <c r="I761" s="1620" t="s">
        <v>18</v>
      </c>
      <c r="J761" s="1620" t="s">
        <v>51</v>
      </c>
      <c r="K761" s="1623" t="s">
        <v>3037</v>
      </c>
      <c r="L761" s="1620" t="s">
        <v>3036</v>
      </c>
      <c r="N761" s="1007" t="s">
        <v>3038</v>
      </c>
      <c r="O761" s="1624">
        <v>0</v>
      </c>
      <c r="Q761" s="1620" t="s">
        <v>4563</v>
      </c>
      <c r="R761" s="1625">
        <v>0</v>
      </c>
      <c r="S761" s="1622">
        <v>2</v>
      </c>
      <c r="T761" s="1622">
        <v>2</v>
      </c>
      <c r="U761" s="1626" t="s">
        <v>4402</v>
      </c>
      <c r="V761" s="1627" t="s">
        <v>4579</v>
      </c>
      <c r="W761" s="1620" t="s">
        <v>1477</v>
      </c>
      <c r="X761" s="1620" t="s">
        <v>1154</v>
      </c>
      <c r="Y761" s="2168"/>
      <c r="Z761" s="2168"/>
    </row>
    <row r="762" spans="1:26" s="1003" customFormat="1" ht="12" customHeight="1">
      <c r="A762" s="1003" t="s">
        <v>3016</v>
      </c>
      <c r="B762" s="1003" t="s">
        <v>682</v>
      </c>
      <c r="C762" s="2079">
        <v>46151</v>
      </c>
      <c r="D762" s="1004">
        <v>46165</v>
      </c>
      <c r="E762" s="1003" t="s">
        <v>3017</v>
      </c>
      <c r="G762" s="1005" t="s">
        <v>3018</v>
      </c>
      <c r="H762" s="1003" t="s">
        <v>3019</v>
      </c>
      <c r="I762" s="1003" t="s">
        <v>18</v>
      </c>
      <c r="J762" s="1003" t="s">
        <v>51</v>
      </c>
      <c r="K762" s="1006" t="s">
        <v>3021</v>
      </c>
      <c r="L762" s="1003" t="s">
        <v>3020</v>
      </c>
      <c r="N762" s="1429" t="s">
        <v>3022</v>
      </c>
      <c r="O762" s="1192">
        <v>0</v>
      </c>
      <c r="Q762" s="1003" t="s">
        <v>4735</v>
      </c>
      <c r="R762" s="1193">
        <v>0</v>
      </c>
      <c r="S762" s="1005">
        <v>6</v>
      </c>
      <c r="T762" s="1005">
        <v>4</v>
      </c>
      <c r="U762" s="2080" t="s">
        <v>4621</v>
      </c>
      <c r="V762" s="1010">
        <v>45849</v>
      </c>
      <c r="W762" s="1003" t="s">
        <v>3328</v>
      </c>
      <c r="X762" s="1003" t="s">
        <v>1154</v>
      </c>
      <c r="Y762" s="1499"/>
      <c r="Z762" s="1499"/>
    </row>
    <row r="763" spans="1:26" s="1003" customFormat="1" ht="12" customHeight="1">
      <c r="A763" s="1003" t="s">
        <v>103</v>
      </c>
      <c r="B763" s="1003" t="s">
        <v>4845</v>
      </c>
      <c r="C763" s="2079">
        <v>46151</v>
      </c>
      <c r="D763" s="1004">
        <v>46158</v>
      </c>
      <c r="E763" s="1003" t="s">
        <v>4846</v>
      </c>
      <c r="G763" s="1005">
        <v>72330</v>
      </c>
      <c r="H763" s="1003" t="s">
        <v>4847</v>
      </c>
      <c r="I763" s="1003" t="s">
        <v>23</v>
      </c>
      <c r="J763" s="1003" t="s">
        <v>19</v>
      </c>
      <c r="K763" s="1006"/>
      <c r="L763" s="1003" t="s">
        <v>4848</v>
      </c>
      <c r="N763" s="1429" t="s">
        <v>4849</v>
      </c>
      <c r="O763" s="1192">
        <v>0</v>
      </c>
      <c r="Q763" s="1003" t="s">
        <v>4864</v>
      </c>
      <c r="R763" s="1193">
        <v>1</v>
      </c>
      <c r="S763" s="1005">
        <v>3</v>
      </c>
      <c r="T763" s="1005">
        <v>2</v>
      </c>
      <c r="U763" s="2080"/>
      <c r="V763" s="1010">
        <v>46018</v>
      </c>
      <c r="W763" s="1003" t="s">
        <v>1665</v>
      </c>
      <c r="X763" s="1003" t="s">
        <v>1154</v>
      </c>
      <c r="Y763" s="1499"/>
      <c r="Z763" s="1499"/>
    </row>
    <row r="764" spans="1:26" s="498" customFormat="1" ht="12" customHeight="1">
      <c r="A764" s="498" t="s">
        <v>4918</v>
      </c>
      <c r="B764" s="498" t="s">
        <v>4919</v>
      </c>
      <c r="C764" s="2142">
        <v>46151</v>
      </c>
      <c r="D764" s="499">
        <v>46158</v>
      </c>
      <c r="E764" s="498" t="s">
        <v>4920</v>
      </c>
      <c r="G764" s="500">
        <v>35530</v>
      </c>
      <c r="H764" s="498" t="s">
        <v>4921</v>
      </c>
      <c r="I764" s="498" t="s">
        <v>23</v>
      </c>
      <c r="J764" s="498" t="s">
        <v>19</v>
      </c>
      <c r="K764" s="688"/>
      <c r="L764" s="498" t="s">
        <v>4922</v>
      </c>
      <c r="N764" s="501" t="s">
        <v>4923</v>
      </c>
      <c r="O764" s="1040">
        <f>1590+2*3*7</f>
        <v>1632</v>
      </c>
      <c r="Q764" s="498" t="s">
        <v>4924</v>
      </c>
      <c r="R764" s="894">
        <v>1</v>
      </c>
      <c r="S764" s="500">
        <v>2</v>
      </c>
      <c r="T764" s="500">
        <v>2</v>
      </c>
      <c r="U764" s="1907" t="s">
        <v>4925</v>
      </c>
      <c r="V764" s="504">
        <v>46069</v>
      </c>
      <c r="W764" s="498" t="s">
        <v>1665</v>
      </c>
      <c r="X764" s="498" t="s">
        <v>1154</v>
      </c>
      <c r="Y764" s="1490"/>
      <c r="Z764" s="1490"/>
    </row>
    <row r="765" spans="1:26" s="498" customFormat="1" ht="12" customHeight="1">
      <c r="A765" s="498" t="s">
        <v>4495</v>
      </c>
      <c r="B765" s="498" t="s">
        <v>1259</v>
      </c>
      <c r="C765" s="499">
        <v>46158</v>
      </c>
      <c r="D765" s="499">
        <v>46165</v>
      </c>
      <c r="G765" s="500"/>
      <c r="I765" s="498" t="s">
        <v>18</v>
      </c>
      <c r="J765" s="498" t="s">
        <v>51</v>
      </c>
      <c r="L765" s="498" t="s">
        <v>4496</v>
      </c>
      <c r="N765" s="501" t="s">
        <v>4497</v>
      </c>
      <c r="O765" s="2112">
        <v>1590</v>
      </c>
      <c r="Q765" s="498" t="s">
        <v>3726</v>
      </c>
      <c r="R765" s="894">
        <v>1</v>
      </c>
      <c r="S765" s="500">
        <v>2</v>
      </c>
      <c r="T765" s="500">
        <v>2</v>
      </c>
      <c r="U765" s="2113" t="s">
        <v>4907</v>
      </c>
      <c r="V765" s="504">
        <v>46054</v>
      </c>
      <c r="W765" s="498" t="s">
        <v>1477</v>
      </c>
      <c r="X765" s="498" t="s">
        <v>1154</v>
      </c>
      <c r="Y765" s="1490"/>
      <c r="Z765" s="1490"/>
    </row>
    <row r="766" spans="1:26" s="498" customFormat="1" ht="12" customHeight="1">
      <c r="A766" s="498" t="s">
        <v>4495</v>
      </c>
      <c r="B766" s="498" t="s">
        <v>1259</v>
      </c>
      <c r="C766" s="499">
        <v>46165</v>
      </c>
      <c r="D766" s="499">
        <v>46179</v>
      </c>
      <c r="G766" s="500"/>
      <c r="I766" s="498" t="s">
        <v>18</v>
      </c>
      <c r="J766" s="498" t="s">
        <v>51</v>
      </c>
      <c r="L766" s="498" t="s">
        <v>4496</v>
      </c>
      <c r="N766" s="501" t="s">
        <v>4497</v>
      </c>
      <c r="O766" s="2112">
        <f xml:space="preserve"> 1790*2+70+2*3*21</f>
        <v>3776</v>
      </c>
      <c r="Q766" s="498" t="s">
        <v>3726</v>
      </c>
      <c r="R766" s="894">
        <v>2</v>
      </c>
      <c r="S766" s="500">
        <v>2</v>
      </c>
      <c r="T766" s="500">
        <v>2</v>
      </c>
      <c r="U766" s="2113" t="s">
        <v>5001</v>
      </c>
      <c r="V766" s="504">
        <v>45762</v>
      </c>
      <c r="W766" s="498" t="s">
        <v>1477</v>
      </c>
      <c r="X766" s="498" t="s">
        <v>1154</v>
      </c>
      <c r="Y766" s="1490"/>
      <c r="Z766" s="1490"/>
    </row>
    <row r="767" spans="1:26" s="1003" customFormat="1" ht="12" customHeight="1">
      <c r="A767" s="1003" t="s">
        <v>4498</v>
      </c>
      <c r="B767" s="1003" t="s">
        <v>157</v>
      </c>
      <c r="C767" s="1004">
        <v>46179</v>
      </c>
      <c r="D767" s="1004">
        <v>46193</v>
      </c>
      <c r="G767" s="1005"/>
      <c r="I767" s="1003" t="s">
        <v>18</v>
      </c>
      <c r="J767" s="1003" t="s">
        <v>51</v>
      </c>
      <c r="L767" s="1003" t="s">
        <v>4499</v>
      </c>
      <c r="N767" s="1429" t="s">
        <v>4500</v>
      </c>
      <c r="O767" s="2134">
        <v>1095</v>
      </c>
      <c r="Q767" s="1003" t="s">
        <v>5005</v>
      </c>
      <c r="R767" s="1193">
        <v>0</v>
      </c>
      <c r="S767" s="1005">
        <v>3</v>
      </c>
      <c r="T767" s="1005">
        <v>2</v>
      </c>
      <c r="U767" s="2135" t="s">
        <v>4503</v>
      </c>
      <c r="V767" s="1010">
        <v>45765</v>
      </c>
      <c r="W767" s="1003" t="s">
        <v>1477</v>
      </c>
      <c r="X767" s="1003" t="s">
        <v>1154</v>
      </c>
      <c r="Y767" s="1499"/>
      <c r="Z767" s="1499"/>
    </row>
    <row r="768" spans="1:26" s="498" customFormat="1" ht="12" customHeight="1">
      <c r="A768" s="1925" t="s">
        <v>5006</v>
      </c>
      <c r="B768" s="498" t="s">
        <v>5007</v>
      </c>
      <c r="C768" s="499">
        <v>46179</v>
      </c>
      <c r="D768" s="499">
        <v>46193</v>
      </c>
      <c r="E768" s="498" t="s">
        <v>542</v>
      </c>
      <c r="G768" s="500">
        <v>4970</v>
      </c>
      <c r="H768" s="498" t="s">
        <v>543</v>
      </c>
      <c r="I768" s="498" t="s">
        <v>54</v>
      </c>
      <c r="J768" s="498" t="s">
        <v>19</v>
      </c>
      <c r="K768" s="498" t="s">
        <v>544</v>
      </c>
      <c r="L768" s="498" t="s">
        <v>545</v>
      </c>
      <c r="N768" s="501" t="s">
        <v>546</v>
      </c>
      <c r="O768" s="1040">
        <f>1900+1900+70+42</f>
        <v>3912</v>
      </c>
      <c r="Q768" s="498" t="s">
        <v>5037</v>
      </c>
      <c r="R768" s="894">
        <v>2</v>
      </c>
      <c r="S768" s="500">
        <v>3</v>
      </c>
      <c r="T768" s="500">
        <v>1</v>
      </c>
      <c r="U768" s="2143" t="s">
        <v>5009</v>
      </c>
      <c r="V768" s="504">
        <v>46139</v>
      </c>
      <c r="W768" s="498" t="s">
        <v>5008</v>
      </c>
      <c r="X768" s="498" t="s">
        <v>1217</v>
      </c>
      <c r="Y768" s="1490"/>
      <c r="Z768" s="1490"/>
    </row>
    <row r="769" spans="1:26" s="498" customFormat="1" ht="12" customHeight="1">
      <c r="A769" s="498" t="s">
        <v>4812</v>
      </c>
      <c r="B769" s="498" t="s">
        <v>4813</v>
      </c>
      <c r="C769" s="499">
        <v>46200</v>
      </c>
      <c r="D769" s="499">
        <v>46579</v>
      </c>
      <c r="G769" s="500"/>
      <c r="H769" s="498" t="s">
        <v>4816</v>
      </c>
      <c r="I769" s="498" t="s">
        <v>18</v>
      </c>
      <c r="J769" s="498" t="s">
        <v>51</v>
      </c>
      <c r="L769" s="498" t="s">
        <v>4814</v>
      </c>
      <c r="N769" s="501" t="s">
        <v>4815</v>
      </c>
      <c r="O769" s="2149">
        <f>2490*2+70+3*14</f>
        <v>5092</v>
      </c>
      <c r="Q769" s="498" t="s">
        <v>5067</v>
      </c>
      <c r="R769" s="894">
        <v>2</v>
      </c>
      <c r="S769" s="500">
        <v>4</v>
      </c>
      <c r="T769" s="500">
        <v>3</v>
      </c>
      <c r="U769" s="2113" t="s">
        <v>4817</v>
      </c>
      <c r="V769" s="504">
        <v>45978</v>
      </c>
      <c r="W769" s="498" t="s">
        <v>1477</v>
      </c>
      <c r="X769" s="498" t="s">
        <v>1154</v>
      </c>
      <c r="Y769" s="1487">
        <v>3931</v>
      </c>
      <c r="Z769" s="1490">
        <f>4980-1245+3*3*14+70</f>
        <v>3931</v>
      </c>
    </row>
    <row r="770" spans="1:26" s="498" customFormat="1" ht="12" customHeight="1">
      <c r="A770" s="498" t="s">
        <v>527</v>
      </c>
      <c r="B770" s="498" t="s">
        <v>4843</v>
      </c>
      <c r="C770" s="499">
        <v>45849</v>
      </c>
      <c r="D770" s="499">
        <v>46228</v>
      </c>
      <c r="E770" s="498" t="s">
        <v>4738</v>
      </c>
      <c r="G770" s="500" t="s">
        <v>4739</v>
      </c>
      <c r="H770" s="498" t="s">
        <v>4740</v>
      </c>
      <c r="I770" s="498" t="s">
        <v>51</v>
      </c>
      <c r="J770" s="498" t="s">
        <v>51</v>
      </c>
      <c r="L770" s="498" t="s">
        <v>4741</v>
      </c>
      <c r="N770" s="501" t="s">
        <v>4742</v>
      </c>
      <c r="O770" s="2149">
        <f>2790*2+70</f>
        <v>5650</v>
      </c>
      <c r="Q770" s="498" t="s">
        <v>5144</v>
      </c>
      <c r="R770" s="894">
        <v>2</v>
      </c>
      <c r="S770" s="500">
        <v>3</v>
      </c>
      <c r="T770" s="500">
        <v>1</v>
      </c>
      <c r="U770" s="2113" t="s">
        <v>4770</v>
      </c>
      <c r="V770" s="504">
        <v>45935</v>
      </c>
      <c r="W770" s="498" t="s">
        <v>1477</v>
      </c>
      <c r="X770" s="498" t="s">
        <v>1154</v>
      </c>
      <c r="Y770" s="1487">
        <v>4255</v>
      </c>
      <c r="Z770" s="1490" t="s">
        <v>5143</v>
      </c>
    </row>
    <row r="771" spans="1:26" s="498" customFormat="1" ht="12" customHeight="1">
      <c r="A771" s="498" t="s">
        <v>4588</v>
      </c>
      <c r="B771" s="498" t="s">
        <v>5145</v>
      </c>
      <c r="C771" s="499">
        <v>46228</v>
      </c>
      <c r="D771" s="499">
        <v>46242</v>
      </c>
      <c r="E771" s="498" t="s">
        <v>4590</v>
      </c>
      <c r="G771" s="500" t="s">
        <v>4591</v>
      </c>
      <c r="H771" s="498" t="s">
        <v>842</v>
      </c>
      <c r="I771" s="498" t="s">
        <v>4589</v>
      </c>
      <c r="J771" s="498" t="s">
        <v>51</v>
      </c>
      <c r="L771" s="498" t="s">
        <v>4592</v>
      </c>
      <c r="N771" s="501" t="s">
        <v>4593</v>
      </c>
      <c r="O771" s="2112">
        <f>2790*2+70</f>
        <v>5650</v>
      </c>
      <c r="Q771" s="498" t="s">
        <v>4594</v>
      </c>
      <c r="R771" s="894">
        <v>2</v>
      </c>
      <c r="S771" s="500">
        <v>5</v>
      </c>
      <c r="T771" s="500">
        <v>1</v>
      </c>
      <c r="U771" s="1907" t="s">
        <v>4634</v>
      </c>
      <c r="V771" s="504">
        <v>45858</v>
      </c>
      <c r="W771" s="498" t="s">
        <v>1477</v>
      </c>
      <c r="X771" s="498" t="s">
        <v>1154</v>
      </c>
      <c r="Y771" s="1490"/>
      <c r="Z771" s="1490"/>
    </row>
    <row r="772" spans="1:26" s="2126" customFormat="1" ht="12" customHeight="1">
      <c r="A772" s="2126" t="s">
        <v>4946</v>
      </c>
      <c r="B772" s="2126" t="s">
        <v>4947</v>
      </c>
      <c r="C772" s="2146">
        <v>46242</v>
      </c>
      <c r="D772" s="2146">
        <v>46249</v>
      </c>
      <c r="E772" s="2126" t="s">
        <v>4948</v>
      </c>
      <c r="G772" s="2127" t="s">
        <v>4949</v>
      </c>
      <c r="H772" s="2126" t="s">
        <v>4950</v>
      </c>
      <c r="I772" s="2126" t="s">
        <v>4951</v>
      </c>
      <c r="J772" s="2126" t="s">
        <v>1023</v>
      </c>
      <c r="L772" s="2126" t="s">
        <v>4952</v>
      </c>
      <c r="N772" s="2128" t="s">
        <v>4953</v>
      </c>
      <c r="O772" s="2149">
        <v>2790</v>
      </c>
      <c r="Q772" s="2126" t="s">
        <v>5127</v>
      </c>
      <c r="R772" s="2147">
        <v>1</v>
      </c>
      <c r="S772" s="2127">
        <v>3</v>
      </c>
      <c r="T772" s="2127">
        <v>1</v>
      </c>
      <c r="U772" s="2148" t="s">
        <v>4957</v>
      </c>
      <c r="V772" s="2130">
        <v>46078</v>
      </c>
      <c r="W772" s="2126" t="s">
        <v>1665</v>
      </c>
      <c r="X772" s="2126" t="s">
        <v>1154</v>
      </c>
      <c r="Y772" s="2129"/>
      <c r="Z772" s="2129"/>
    </row>
    <row r="773" spans="1:26" s="498" customFormat="1" ht="12" customHeight="1">
      <c r="A773" s="498" t="s">
        <v>4602</v>
      </c>
      <c r="B773" s="498" t="s">
        <v>4619</v>
      </c>
      <c r="C773" s="499">
        <v>46249</v>
      </c>
      <c r="D773" s="499">
        <v>46263</v>
      </c>
      <c r="E773" s="498" t="s">
        <v>4603</v>
      </c>
      <c r="G773" s="500" t="s">
        <v>4604</v>
      </c>
      <c r="H773" s="498" t="s">
        <v>4606</v>
      </c>
      <c r="I773" s="498" t="s">
        <v>18</v>
      </c>
      <c r="J773" s="498" t="s">
        <v>51</v>
      </c>
      <c r="L773" s="498" t="s">
        <v>4605</v>
      </c>
      <c r="N773" s="501" t="s">
        <v>4607</v>
      </c>
      <c r="O773" s="2112">
        <f>2790+2490+70</f>
        <v>5350</v>
      </c>
      <c r="Q773" s="498" t="s">
        <v>4608</v>
      </c>
      <c r="R773" s="894">
        <v>2</v>
      </c>
      <c r="S773" s="500">
        <v>5</v>
      </c>
      <c r="T773" s="500">
        <v>2</v>
      </c>
      <c r="U773" s="2113" t="s">
        <v>5162</v>
      </c>
      <c r="V773" s="504">
        <v>45858</v>
      </c>
      <c r="W773" s="498" t="s">
        <v>1477</v>
      </c>
      <c r="X773" s="498" t="s">
        <v>1154</v>
      </c>
      <c r="Y773" s="1490"/>
      <c r="Z773" s="1490"/>
    </row>
    <row r="774" spans="1:26" s="838" customFormat="1" ht="12" customHeight="1">
      <c r="A774" s="838" t="s">
        <v>4958</v>
      </c>
      <c r="B774" s="838" t="s">
        <v>4959</v>
      </c>
      <c r="C774" s="839">
        <v>46263</v>
      </c>
      <c r="D774" s="839">
        <v>46270</v>
      </c>
      <c r="E774" s="838" t="s">
        <v>4962</v>
      </c>
      <c r="G774" s="840" t="s">
        <v>4960</v>
      </c>
      <c r="H774" s="838" t="s">
        <v>4961</v>
      </c>
      <c r="I774" s="838" t="s">
        <v>4951</v>
      </c>
      <c r="J774" s="838" t="s">
        <v>51</v>
      </c>
      <c r="L774" s="838" t="s">
        <v>4963</v>
      </c>
      <c r="N774" s="2185" t="s">
        <v>4964</v>
      </c>
      <c r="O774" s="1034">
        <v>630</v>
      </c>
      <c r="Q774" s="838" t="s">
        <v>1192</v>
      </c>
      <c r="R774" s="887">
        <v>1</v>
      </c>
      <c r="S774" s="840">
        <v>2</v>
      </c>
      <c r="T774" s="840">
        <v>2</v>
      </c>
      <c r="U774" s="2186" t="s">
        <v>4975</v>
      </c>
      <c r="V774" s="844">
        <v>46081</v>
      </c>
      <c r="W774" s="838" t="s">
        <v>1665</v>
      </c>
      <c r="X774" s="838" t="s">
        <v>1154</v>
      </c>
      <c r="Y774" s="1494"/>
      <c r="Z774" s="1494"/>
    </row>
    <row r="775" spans="1:26" s="440" customFormat="1" ht="12" customHeight="1">
      <c r="A775" s="440" t="s">
        <v>5163</v>
      </c>
      <c r="B775" s="440" t="s">
        <v>5164</v>
      </c>
      <c r="C775" s="441">
        <v>46263</v>
      </c>
      <c r="D775" s="441">
        <v>46270</v>
      </c>
      <c r="E775" s="440" t="s">
        <v>5165</v>
      </c>
      <c r="G775" s="442" t="s">
        <v>5166</v>
      </c>
      <c r="H775" s="440" t="s">
        <v>5167</v>
      </c>
      <c r="I775" s="440" t="s">
        <v>18</v>
      </c>
      <c r="J775" s="440" t="s">
        <v>51</v>
      </c>
      <c r="N775" s="443" t="s">
        <v>5168</v>
      </c>
      <c r="O775" s="2206">
        <v>2490</v>
      </c>
      <c r="Q775" s="440" t="s">
        <v>1192</v>
      </c>
      <c r="R775" s="2207">
        <v>1</v>
      </c>
      <c r="S775" s="442">
        <v>2</v>
      </c>
      <c r="T775" s="442">
        <v>2</v>
      </c>
      <c r="U775" s="2208">
        <v>622.5</v>
      </c>
      <c r="V775" s="445">
        <v>46223</v>
      </c>
      <c r="W775" s="440" t="s">
        <v>1477</v>
      </c>
      <c r="X775" s="440" t="s">
        <v>1154</v>
      </c>
      <c r="Y775" s="1507"/>
      <c r="Z775" s="1507"/>
    </row>
    <row r="776" spans="1:26" s="115" customFormat="1" ht="12" customHeight="1">
      <c r="A776" s="115" t="s">
        <v>4818</v>
      </c>
      <c r="B776" s="115" t="s">
        <v>4819</v>
      </c>
      <c r="C776" s="116">
        <v>46270</v>
      </c>
      <c r="D776" s="116">
        <v>46277</v>
      </c>
      <c r="G776" s="361"/>
      <c r="I776" s="115" t="s">
        <v>977</v>
      </c>
      <c r="J776" s="115" t="s">
        <v>51</v>
      </c>
      <c r="L776" s="115" t="s">
        <v>4820</v>
      </c>
      <c r="N776" s="121" t="s">
        <v>4821</v>
      </c>
      <c r="O776" s="1033">
        <v>2090</v>
      </c>
      <c r="Q776" s="115" t="s">
        <v>4822</v>
      </c>
      <c r="R776" s="682">
        <v>1</v>
      </c>
      <c r="S776" s="361">
        <v>4</v>
      </c>
      <c r="T776" s="361">
        <v>2</v>
      </c>
      <c r="U776" s="2020" t="s">
        <v>4831</v>
      </c>
      <c r="V776" s="120">
        <v>45988</v>
      </c>
      <c r="W776" s="115" t="s">
        <v>1477</v>
      </c>
      <c r="X776" s="115" t="s">
        <v>1154</v>
      </c>
      <c r="Y776" s="1486"/>
      <c r="Z776" s="1486"/>
    </row>
    <row r="777" spans="1:26" s="115" customFormat="1" ht="12" customHeight="1">
      <c r="A777" s="115" t="s">
        <v>4595</v>
      </c>
      <c r="B777" s="115" t="s">
        <v>4596</v>
      </c>
      <c r="C777" s="116">
        <v>46277</v>
      </c>
      <c r="D777" s="116">
        <v>46291</v>
      </c>
      <c r="E777" s="115" t="s">
        <v>4597</v>
      </c>
      <c r="G777" s="361" t="s">
        <v>4598</v>
      </c>
      <c r="H777" s="115" t="s">
        <v>4599</v>
      </c>
      <c r="I777" s="115" t="s">
        <v>168</v>
      </c>
      <c r="J777" s="115" t="s">
        <v>51</v>
      </c>
      <c r="L777" s="115" t="s">
        <v>4600</v>
      </c>
      <c r="N777" s="121" t="s">
        <v>4601</v>
      </c>
      <c r="O777" s="1033">
        <f>2090+1690</f>
        <v>3780</v>
      </c>
      <c r="Q777" s="115" t="s">
        <v>3303</v>
      </c>
      <c r="R777" s="682">
        <v>2</v>
      </c>
      <c r="S777" s="361">
        <v>2</v>
      </c>
      <c r="T777" s="361">
        <v>3</v>
      </c>
      <c r="U777" s="2020" t="s">
        <v>4618</v>
      </c>
      <c r="V777" s="120">
        <v>45858</v>
      </c>
      <c r="W777" s="115" t="s">
        <v>1477</v>
      </c>
      <c r="X777" s="115" t="s">
        <v>1154</v>
      </c>
      <c r="Y777" s="1486"/>
      <c r="Z777" s="1486"/>
    </row>
    <row r="778" spans="1:26" s="115" customFormat="1" ht="12" customHeight="1">
      <c r="A778" s="115" t="s">
        <v>4674</v>
      </c>
      <c r="B778" s="115" t="s">
        <v>4675</v>
      </c>
      <c r="C778" s="116">
        <v>46291</v>
      </c>
      <c r="D778" s="116">
        <v>46305</v>
      </c>
      <c r="E778" s="115" t="s">
        <v>4676</v>
      </c>
      <c r="G778" s="361"/>
      <c r="H778" s="115" t="s">
        <v>4677</v>
      </c>
      <c r="I778" s="115" t="s">
        <v>36</v>
      </c>
      <c r="J778" s="115" t="s">
        <v>19</v>
      </c>
      <c r="L778" s="2060" t="s">
        <v>4678</v>
      </c>
      <c r="N778" s="121" t="s">
        <v>4679</v>
      </c>
      <c r="O778" s="1033">
        <f>1690+1390</f>
        <v>3080</v>
      </c>
      <c r="Q778" s="115" t="s">
        <v>4680</v>
      </c>
      <c r="R778" s="682">
        <v>2</v>
      </c>
      <c r="S778" s="361">
        <v>2</v>
      </c>
      <c r="T778" s="361">
        <v>3</v>
      </c>
      <c r="U778" s="2020" t="s">
        <v>4681</v>
      </c>
      <c r="V778" s="120">
        <v>45896</v>
      </c>
      <c r="W778" s="115" t="s">
        <v>1665</v>
      </c>
      <c r="X778" s="115" t="s">
        <v>1154</v>
      </c>
      <c r="Y778" s="1486"/>
      <c r="Z778" s="1486"/>
    </row>
    <row r="779" spans="1:26" s="115" customFormat="1" ht="12" customHeight="1">
      <c r="A779" s="115" t="s">
        <v>4772</v>
      </c>
      <c r="B779" s="115" t="s">
        <v>264</v>
      </c>
      <c r="C779" s="116">
        <v>46305</v>
      </c>
      <c r="D779" s="116">
        <v>46319</v>
      </c>
      <c r="E779" s="115" t="s">
        <v>4773</v>
      </c>
      <c r="G779" s="361" t="s">
        <v>4774</v>
      </c>
      <c r="H779" s="115" t="s">
        <v>4775</v>
      </c>
      <c r="I779" s="115" t="s">
        <v>977</v>
      </c>
      <c r="J779" s="115" t="s">
        <v>51</v>
      </c>
      <c r="L779" s="2060" t="s">
        <v>4776</v>
      </c>
      <c r="N779" s="121" t="s">
        <v>4777</v>
      </c>
      <c r="O779" s="1033">
        <f>1390+1190</f>
        <v>2580</v>
      </c>
      <c r="Q779" s="115" t="s">
        <v>3303</v>
      </c>
      <c r="R779" s="682">
        <v>2</v>
      </c>
      <c r="S779" s="361">
        <v>2</v>
      </c>
      <c r="T779" s="361">
        <v>3</v>
      </c>
      <c r="U779" s="1486" t="s">
        <v>4787</v>
      </c>
      <c r="V779" s="120">
        <v>45946</v>
      </c>
      <c r="W779" s="115" t="s">
        <v>1477</v>
      </c>
      <c r="X779" s="115" t="s">
        <v>1154</v>
      </c>
      <c r="Y779" s="1486"/>
      <c r="Z779" s="1486"/>
    </row>
    <row r="780" spans="1:26" ht="12" customHeight="1">
      <c r="L780" s="461"/>
      <c r="N780" s="683"/>
      <c r="U780" s="439"/>
    </row>
    <row r="781" spans="1:26" s="115" customFormat="1" ht="13.2">
      <c r="A781" s="115" t="s">
        <v>3402</v>
      </c>
      <c r="B781" s="115" t="s">
        <v>4542</v>
      </c>
      <c r="C781" s="116">
        <v>46347</v>
      </c>
      <c r="D781" s="116">
        <v>46361</v>
      </c>
      <c r="E781" s="935" t="s">
        <v>5134</v>
      </c>
      <c r="G781" s="2193">
        <v>68960</v>
      </c>
      <c r="H781" s="115" t="s">
        <v>5135</v>
      </c>
      <c r="I781" s="115" t="s">
        <v>23</v>
      </c>
      <c r="J781" s="115" t="s">
        <v>51</v>
      </c>
      <c r="L781" s="935" t="s">
        <v>5136</v>
      </c>
      <c r="N781" s="121" t="s">
        <v>5137</v>
      </c>
      <c r="O781" s="118">
        <f>1090*2+3*4*14+70</f>
        <v>2418</v>
      </c>
      <c r="Q781" s="115" t="s">
        <v>5138</v>
      </c>
      <c r="R781" s="1486">
        <v>2</v>
      </c>
      <c r="S781" s="361">
        <v>2</v>
      </c>
      <c r="T781" s="361">
        <v>3</v>
      </c>
      <c r="U781" s="129" t="s">
        <v>5151</v>
      </c>
      <c r="V781" s="116">
        <v>46212</v>
      </c>
      <c r="W781" s="115" t="s">
        <v>5139</v>
      </c>
      <c r="X781" s="115" t="s">
        <v>1154</v>
      </c>
      <c r="Y781" s="1486"/>
      <c r="Z781" s="1486"/>
    </row>
    <row r="782" spans="1:26" ht="12" customHeight="1">
      <c r="L782" s="461"/>
      <c r="N782" s="683"/>
      <c r="U782" s="2020"/>
    </row>
    <row r="783" spans="1:26" s="115" customFormat="1" ht="12" customHeight="1">
      <c r="A783" s="115" t="s">
        <v>4647</v>
      </c>
      <c r="B783" s="115" t="s">
        <v>4648</v>
      </c>
      <c r="C783" s="116">
        <v>46375</v>
      </c>
      <c r="D783" s="116">
        <v>46382</v>
      </c>
      <c r="E783" s="115" t="s">
        <v>4649</v>
      </c>
      <c r="G783" s="361">
        <v>4100</v>
      </c>
      <c r="H783" s="115" t="s">
        <v>4650</v>
      </c>
      <c r="I783" s="115" t="s">
        <v>36</v>
      </c>
      <c r="J783" s="115" t="s">
        <v>19</v>
      </c>
      <c r="L783" s="124" t="s">
        <v>4651</v>
      </c>
      <c r="N783" s="121" t="s">
        <v>4652</v>
      </c>
      <c r="O783" s="1027">
        <f>1390</f>
        <v>1390</v>
      </c>
      <c r="Q783" s="115" t="s">
        <v>4833</v>
      </c>
      <c r="R783" s="1486">
        <v>1</v>
      </c>
      <c r="S783" s="361">
        <v>3</v>
      </c>
      <c r="T783" s="361">
        <v>1</v>
      </c>
      <c r="U783" s="129" t="s">
        <v>4870</v>
      </c>
      <c r="V783" s="120">
        <v>46027</v>
      </c>
      <c r="W783" s="115" t="s">
        <v>4866</v>
      </c>
      <c r="X783" s="115" t="s">
        <v>1154</v>
      </c>
      <c r="Y783" s="1486"/>
      <c r="Z783" s="1486"/>
    </row>
    <row r="784" spans="1:26" s="115" customFormat="1" ht="12" customHeight="1">
      <c r="A784" s="505" t="s">
        <v>4528</v>
      </c>
      <c r="B784" s="115" t="s">
        <v>4529</v>
      </c>
      <c r="C784" s="116">
        <v>46382</v>
      </c>
      <c r="D784" s="116">
        <v>46391</v>
      </c>
      <c r="E784" s="115" t="s">
        <v>291</v>
      </c>
      <c r="G784" s="361">
        <v>66292</v>
      </c>
      <c r="H784" s="115" t="s">
        <v>292</v>
      </c>
      <c r="I784" s="115" t="s">
        <v>18</v>
      </c>
      <c r="J784" s="115" t="s">
        <v>51</v>
      </c>
      <c r="K784" s="115" t="s">
        <v>294</v>
      </c>
      <c r="L784" s="115" t="s">
        <v>4530</v>
      </c>
      <c r="N784" s="117" t="s">
        <v>5002</v>
      </c>
      <c r="O784" s="2132">
        <v>1790</v>
      </c>
      <c r="Q784" s="115" t="s">
        <v>4832</v>
      </c>
      <c r="R784" s="682">
        <v>1</v>
      </c>
      <c r="S784" s="361">
        <v>2</v>
      </c>
      <c r="T784" s="361">
        <v>2</v>
      </c>
      <c r="U784" s="2133" t="s">
        <v>5003</v>
      </c>
      <c r="V784" s="120">
        <v>46131</v>
      </c>
      <c r="W784" s="115" t="s">
        <v>5004</v>
      </c>
      <c r="X784" s="115" t="s">
        <v>1154</v>
      </c>
      <c r="Y784" s="1486"/>
      <c r="Z784" s="1486"/>
    </row>
    <row r="785" spans="1:26" ht="12" customHeight="1" thickBot="1"/>
    <row r="786" spans="1:26" s="407" customFormat="1" ht="12" customHeight="1" thickBot="1">
      <c r="A786" s="18" t="s">
        <v>4390</v>
      </c>
      <c r="B786" s="1050">
        <f>SUM(O755:O785)</f>
        <v>65145</v>
      </c>
      <c r="C786" s="826">
        <f>B786/B742</f>
        <v>1.0478526620556539</v>
      </c>
      <c r="D786" s="1584" t="s">
        <v>574</v>
      </c>
      <c r="E786" s="1585">
        <f>E714</f>
        <v>0</v>
      </c>
      <c r="G786" s="999"/>
      <c r="H786" s="998"/>
      <c r="I786" s="2010"/>
      <c r="J786" s="2010"/>
      <c r="K786" s="2010"/>
      <c r="L786" s="1538"/>
      <c r="M786" s="2010"/>
      <c r="N786" s="1121"/>
      <c r="O786" s="2011"/>
      <c r="P786" s="2010"/>
      <c r="Q786" s="2010"/>
      <c r="R786" s="2012"/>
      <c r="S786" s="2013"/>
      <c r="T786" s="2013"/>
      <c r="U786" s="2016"/>
      <c r="V786" s="2015"/>
      <c r="Y786" s="1519"/>
      <c r="Z786" s="1519"/>
    </row>
    <row r="787" spans="1:26" s="407" customFormat="1" ht="12" customHeight="1" thickBot="1">
      <c r="A787" s="768" t="s">
        <v>463</v>
      </c>
      <c r="B787" s="827">
        <f>SUM(R753:R785)</f>
        <v>35</v>
      </c>
      <c r="C787" s="1576">
        <f>B786/B787</f>
        <v>1861.2857142857142</v>
      </c>
      <c r="D787" s="1586" t="s">
        <v>575</v>
      </c>
      <c r="E787" s="1587"/>
      <c r="G787" s="999"/>
      <c r="H787" s="371"/>
      <c r="I787" s="2010"/>
      <c r="J787" s="2010"/>
      <c r="K787" s="2010"/>
      <c r="L787" s="1538"/>
      <c r="M787" s="2010"/>
      <c r="N787" s="1121"/>
      <c r="O787" s="2011"/>
      <c r="P787" s="2010"/>
      <c r="Q787" s="2010"/>
      <c r="R787" s="2012"/>
      <c r="S787" s="2013"/>
      <c r="T787" s="2013"/>
      <c r="U787" s="2016"/>
      <c r="V787" s="2015"/>
      <c r="Y787" s="1519"/>
      <c r="Z787" s="1519"/>
    </row>
    <row r="788" spans="1:26" s="407" customFormat="1" ht="12" customHeight="1" thickBot="1">
      <c r="A788" s="7"/>
      <c r="B788" s="7"/>
      <c r="C788" s="29"/>
      <c r="D788" s="1586" t="s">
        <v>576</v>
      </c>
      <c r="E788" s="1587"/>
      <c r="G788" s="999"/>
      <c r="H788" s="998"/>
      <c r="I788" s="2010"/>
      <c r="J788" s="2010"/>
      <c r="K788" s="2010"/>
      <c r="L788" s="1538"/>
      <c r="M788" s="2010"/>
      <c r="N788" s="1121"/>
      <c r="O788" s="2011"/>
      <c r="P788" s="2010"/>
      <c r="Q788" s="2010"/>
      <c r="R788" s="2012"/>
      <c r="S788" s="2013"/>
      <c r="T788" s="2013"/>
      <c r="U788" s="2016"/>
      <c r="V788" s="2015"/>
      <c r="Y788" s="1519"/>
      <c r="Z788" s="1519"/>
    </row>
    <row r="789" spans="1:26" s="407" customFormat="1" ht="12" customHeight="1" thickBot="1">
      <c r="A789" s="18" t="s">
        <v>464</v>
      </c>
      <c r="B789" s="917">
        <v>0</v>
      </c>
      <c r="C789" s="29"/>
      <c r="D789" s="1586" t="s">
        <v>1304</v>
      </c>
      <c r="E789" s="1587"/>
      <c r="G789" s="999"/>
      <c r="H789" s="998"/>
      <c r="I789" s="2010"/>
      <c r="J789" s="2010"/>
      <c r="K789" s="2010"/>
      <c r="L789" s="1538"/>
      <c r="M789" s="2010"/>
      <c r="N789" s="1121"/>
      <c r="O789" s="2011">
        <f>O770-1395</f>
        <v>4255</v>
      </c>
      <c r="P789" s="2010"/>
      <c r="Q789" s="2010"/>
      <c r="R789" s="2012"/>
      <c r="S789" s="2013"/>
      <c r="T789" s="2013"/>
      <c r="U789" s="2016"/>
      <c r="V789" s="2015"/>
      <c r="Y789" s="1519"/>
      <c r="Z789" s="1519"/>
    </row>
    <row r="790" spans="1:26" s="407" customFormat="1" ht="12" customHeight="1" thickBot="1">
      <c r="A790" s="852" t="s">
        <v>574</v>
      </c>
      <c r="B790" s="853">
        <f>E786</f>
        <v>0</v>
      </c>
      <c r="C790" s="29"/>
      <c r="D790" s="1586" t="s">
        <v>4310</v>
      </c>
      <c r="E790" s="1587">
        <v>884</v>
      </c>
      <c r="G790" s="999"/>
      <c r="H790" s="998"/>
      <c r="I790" s="2010"/>
      <c r="J790" s="2010"/>
      <c r="K790" s="2010"/>
      <c r="L790" s="1538"/>
      <c r="M790" s="2010"/>
      <c r="N790" s="1121"/>
      <c r="O790" s="2011"/>
      <c r="P790" s="2010"/>
      <c r="Q790" s="2010"/>
      <c r="R790" s="2012"/>
      <c r="S790" s="2013"/>
      <c r="T790" s="2013"/>
      <c r="U790" s="2016"/>
      <c r="V790" s="2015"/>
      <c r="Y790" s="1519"/>
      <c r="Z790" s="1519"/>
    </row>
    <row r="791" spans="1:26" s="407" customFormat="1" ht="12" customHeight="1">
      <c r="A791" s="510" t="s">
        <v>1534</v>
      </c>
      <c r="B791" s="854">
        <f>B786-B789-B790</f>
        <v>65145</v>
      </c>
      <c r="C791" s="29"/>
      <c r="D791" s="1586" t="s">
        <v>4308</v>
      </c>
      <c r="E791" s="1587">
        <v>956</v>
      </c>
      <c r="G791" s="999"/>
      <c r="H791" s="998"/>
      <c r="I791" s="2010"/>
      <c r="J791" s="2010"/>
      <c r="K791" s="2010"/>
      <c r="L791" s="1538"/>
      <c r="M791" s="2010"/>
      <c r="N791" s="1121"/>
      <c r="O791" s="2011">
        <f>4255+1395</f>
        <v>5650</v>
      </c>
      <c r="P791" s="2010"/>
      <c r="Q791" s="2010"/>
      <c r="R791" s="2012"/>
      <c r="S791" s="2013"/>
      <c r="T791" s="2013"/>
      <c r="U791" s="2016"/>
      <c r="V791" s="2015"/>
      <c r="Y791" s="1519"/>
      <c r="Z791" s="1519"/>
    </row>
    <row r="792" spans="1:26" ht="12" customHeight="1" thickBot="1">
      <c r="A792" s="768" t="s">
        <v>466</v>
      </c>
      <c r="B792" s="2024">
        <f>B791/12</f>
        <v>5428.75</v>
      </c>
      <c r="C792" s="29"/>
      <c r="D792" s="1588"/>
      <c r="E792" s="1589"/>
      <c r="K792" s="15"/>
      <c r="N792" s="49"/>
      <c r="O792" s="1035"/>
      <c r="U792" s="1905"/>
    </row>
    <row r="793" spans="1:26" ht="12" customHeight="1">
      <c r="A793" s="7"/>
      <c r="B793" s="870"/>
      <c r="C793" s="29"/>
      <c r="D793" s="74"/>
      <c r="E793" s="133"/>
      <c r="K793" s="15"/>
      <c r="N793" s="1103"/>
      <c r="O793" s="2059"/>
      <c r="U793" s="2050"/>
    </row>
    <row r="794" spans="1:26" ht="12" customHeight="1">
      <c r="A794" s="7"/>
      <c r="B794" s="870"/>
      <c r="C794" s="29"/>
      <c r="D794" s="2062"/>
      <c r="E794" s="133"/>
      <c r="K794" s="15"/>
      <c r="N794" s="1103"/>
      <c r="O794" s="2059"/>
      <c r="U794" s="2050"/>
    </row>
    <row r="795" spans="1:26" ht="12" customHeight="1">
      <c r="A795" s="7"/>
      <c r="B795" s="870"/>
      <c r="C795" s="29"/>
      <c r="D795" s="2062"/>
      <c r="E795" s="133"/>
      <c r="K795" s="15"/>
      <c r="N795" s="1103"/>
      <c r="O795" s="2059"/>
      <c r="U795" s="2050"/>
    </row>
    <row r="796" spans="1:26" ht="12" customHeight="1">
      <c r="A796" s="7"/>
      <c r="B796" s="870"/>
      <c r="C796" s="29"/>
      <c r="D796" s="2062"/>
      <c r="E796" s="133"/>
      <c r="K796" s="15"/>
      <c r="N796" s="1103"/>
      <c r="O796" s="2059"/>
      <c r="U796" s="2050"/>
    </row>
    <row r="797" spans="1:26" ht="12" customHeight="1">
      <c r="A797" s="7"/>
      <c r="B797" s="870"/>
      <c r="C797" s="29"/>
      <c r="D797" s="2062"/>
      <c r="E797" s="133"/>
      <c r="K797" s="15"/>
      <c r="N797" s="1103"/>
      <c r="O797" s="2059"/>
      <c r="U797" s="2050"/>
    </row>
    <row r="798" spans="1:26" ht="12" customHeight="1">
      <c r="A798" s="920">
        <v>2027</v>
      </c>
      <c r="B798" s="870"/>
      <c r="C798" s="29"/>
      <c r="D798" s="2062"/>
      <c r="E798" s="133"/>
      <c r="K798" s="15"/>
      <c r="N798" s="1103"/>
      <c r="O798" s="2059"/>
      <c r="U798" s="2050"/>
    </row>
    <row r="799" spans="1:26" ht="12" customHeight="1">
      <c r="A799" s="7"/>
      <c r="B799" s="870"/>
      <c r="C799" s="29"/>
      <c r="D799" s="2062"/>
      <c r="E799" s="133"/>
      <c r="K799" s="15"/>
      <c r="N799" s="1103"/>
      <c r="O799" s="2059"/>
      <c r="U799" s="2050"/>
    </row>
    <row r="800" spans="1:26" ht="12" customHeight="1">
      <c r="A800" s="7"/>
      <c r="B800" s="2067"/>
      <c r="C800" s="29"/>
      <c r="D800" s="2062"/>
      <c r="E800" s="133"/>
      <c r="K800" s="15"/>
      <c r="N800" s="1103"/>
      <c r="O800" s="2059"/>
      <c r="U800" s="2050"/>
    </row>
    <row r="801" spans="1:26" ht="12" customHeight="1">
      <c r="A801" s="7"/>
      <c r="B801" s="870"/>
      <c r="C801" s="29"/>
      <c r="D801" s="2062"/>
      <c r="E801" s="133"/>
      <c r="K801" s="15"/>
      <c r="N801" s="1103"/>
      <c r="O801" s="2059"/>
      <c r="U801" s="2050"/>
    </row>
    <row r="802" spans="1:26" s="115" customFormat="1" ht="12" customHeight="1">
      <c r="A802" s="115" t="s">
        <v>4658</v>
      </c>
      <c r="B802" s="921" t="s">
        <v>4659</v>
      </c>
      <c r="C802" s="116">
        <v>46487</v>
      </c>
      <c r="D802" s="2189">
        <v>46501</v>
      </c>
      <c r="E802" s="361" t="s">
        <v>4684</v>
      </c>
      <c r="G802" s="361" t="s">
        <v>4685</v>
      </c>
      <c r="H802" s="115" t="s">
        <v>4686</v>
      </c>
      <c r="I802" s="115" t="s">
        <v>168</v>
      </c>
      <c r="J802" s="115" t="s">
        <v>19</v>
      </c>
      <c r="K802" s="124"/>
      <c r="L802" s="115" t="s">
        <v>4687</v>
      </c>
      <c r="N802" s="121" t="s">
        <v>4688</v>
      </c>
      <c r="O802" s="1044">
        <f>1490*2</f>
        <v>2980</v>
      </c>
      <c r="Q802" s="115" t="s">
        <v>1025</v>
      </c>
      <c r="R802" s="682">
        <v>2</v>
      </c>
      <c r="S802" s="361">
        <v>2</v>
      </c>
      <c r="T802" s="361">
        <v>1</v>
      </c>
      <c r="U802" s="2061" t="s">
        <v>4689</v>
      </c>
      <c r="V802" s="120">
        <v>45891</v>
      </c>
      <c r="Y802" s="1486"/>
      <c r="Z802" s="1486"/>
    </row>
    <row r="803" spans="1:26" s="115" customFormat="1" ht="12" customHeight="1">
      <c r="A803" s="115" t="s">
        <v>2406</v>
      </c>
      <c r="B803" s="115" t="s">
        <v>5035</v>
      </c>
      <c r="C803" s="116">
        <v>46501</v>
      </c>
      <c r="D803" s="2048">
        <v>46508</v>
      </c>
      <c r="E803" s="115" t="s">
        <v>2408</v>
      </c>
      <c r="G803" s="361" t="s">
        <v>2409</v>
      </c>
      <c r="H803" s="115" t="s">
        <v>2410</v>
      </c>
      <c r="I803" s="115" t="s">
        <v>18</v>
      </c>
      <c r="J803" s="115" t="s">
        <v>51</v>
      </c>
      <c r="K803" s="115" t="s">
        <v>2412</v>
      </c>
      <c r="L803" s="115" t="s">
        <v>2413</v>
      </c>
      <c r="N803" s="121" t="s">
        <v>2414</v>
      </c>
      <c r="O803" s="1027">
        <v>1390</v>
      </c>
      <c r="Q803" s="115" t="s">
        <v>5036</v>
      </c>
      <c r="R803" s="682">
        <v>1</v>
      </c>
      <c r="S803" s="361">
        <v>2</v>
      </c>
      <c r="T803" s="361">
        <v>3</v>
      </c>
      <c r="U803" s="1428" t="s">
        <v>5065</v>
      </c>
      <c r="V803" s="120">
        <v>46148</v>
      </c>
      <c r="W803" s="115" t="s">
        <v>4293</v>
      </c>
      <c r="X803" s="115" t="s">
        <v>1154</v>
      </c>
      <c r="Y803" s="1486" t="s">
        <v>3523</v>
      </c>
      <c r="Z803" s="1486"/>
    </row>
    <row r="804" spans="1:26" s="923" customFormat="1" ht="12" customHeight="1">
      <c r="A804" s="1194" t="s">
        <v>3528</v>
      </c>
      <c r="B804" s="923" t="s">
        <v>3527</v>
      </c>
      <c r="C804" s="116">
        <v>46522</v>
      </c>
      <c r="D804" s="2048">
        <v>46536</v>
      </c>
      <c r="E804" s="115" t="s">
        <v>3529</v>
      </c>
      <c r="G804" s="925" t="s">
        <v>5140</v>
      </c>
      <c r="H804" s="923" t="s">
        <v>5141</v>
      </c>
      <c r="I804" s="923" t="s">
        <v>18</v>
      </c>
      <c r="J804" s="923" t="s">
        <v>51</v>
      </c>
      <c r="K804" s="926"/>
      <c r="L804" s="923" t="s">
        <v>3530</v>
      </c>
      <c r="N804" s="121" t="s">
        <v>3526</v>
      </c>
      <c r="O804" s="1027">
        <f>1590+1790</f>
        <v>3380</v>
      </c>
      <c r="Q804" s="923" t="s">
        <v>3587</v>
      </c>
      <c r="R804" s="1196">
        <v>2</v>
      </c>
      <c r="S804" s="925">
        <v>3</v>
      </c>
      <c r="T804" s="925">
        <v>3</v>
      </c>
      <c r="U804" s="1427" t="s">
        <v>5152</v>
      </c>
      <c r="V804" s="929">
        <v>45448</v>
      </c>
      <c r="W804" s="923" t="s">
        <v>4049</v>
      </c>
      <c r="X804" s="923" t="s">
        <v>1154</v>
      </c>
      <c r="Y804" s="1496"/>
      <c r="Z804" s="1496">
        <v>3181</v>
      </c>
    </row>
    <row r="805" spans="1:26" ht="12" customHeight="1">
      <c r="C805" s="8"/>
      <c r="D805" s="1851"/>
      <c r="N805" s="683"/>
      <c r="O805" s="8"/>
      <c r="U805" s="1894"/>
    </row>
    <row r="806" spans="1:26" ht="12" customHeight="1">
      <c r="D806" s="2190"/>
      <c r="N806" s="683"/>
      <c r="O806" s="1108"/>
      <c r="U806" s="1894"/>
    </row>
    <row r="807" spans="1:26" s="115" customFormat="1" ht="12" customHeight="1">
      <c r="A807" s="115" t="s">
        <v>2446</v>
      </c>
      <c r="B807" s="115" t="s">
        <v>5046</v>
      </c>
      <c r="C807" s="116">
        <v>46571</v>
      </c>
      <c r="D807" s="2048">
        <v>46592</v>
      </c>
      <c r="E807" s="115" t="s">
        <v>5047</v>
      </c>
      <c r="G807" s="361" t="s">
        <v>5048</v>
      </c>
      <c r="H807" s="115" t="s">
        <v>5049</v>
      </c>
      <c r="I807" s="115" t="s">
        <v>168</v>
      </c>
      <c r="J807" s="115" t="s">
        <v>51</v>
      </c>
      <c r="L807" s="115" t="s">
        <v>5050</v>
      </c>
      <c r="N807" s="121" t="s">
        <v>5051</v>
      </c>
      <c r="O807" s="1027">
        <f>2490+2790+2790</f>
        <v>8070</v>
      </c>
      <c r="Q807" s="115" t="s">
        <v>5052</v>
      </c>
      <c r="R807" s="682">
        <v>3</v>
      </c>
      <c r="S807" s="361">
        <v>2</v>
      </c>
      <c r="T807" s="361">
        <v>2</v>
      </c>
      <c r="U807" s="1428" t="s">
        <v>5066</v>
      </c>
      <c r="V807" s="120">
        <v>46154</v>
      </c>
      <c r="Y807" s="1486"/>
      <c r="Z807" s="1486"/>
    </row>
    <row r="808" spans="1:26" s="115" customFormat="1" ht="12" customHeight="1">
      <c r="A808" s="115" t="s">
        <v>4716</v>
      </c>
      <c r="B808" s="921" t="s">
        <v>4717</v>
      </c>
      <c r="C808" s="116">
        <v>46592</v>
      </c>
      <c r="D808" s="2189">
        <v>46606</v>
      </c>
      <c r="E808" s="361" t="s">
        <v>4718</v>
      </c>
      <c r="G808" s="361"/>
      <c r="I808" s="115" t="s">
        <v>18</v>
      </c>
      <c r="J808" s="115" t="s">
        <v>51</v>
      </c>
      <c r="K808" s="124"/>
      <c r="L808" s="115" t="s">
        <v>4719</v>
      </c>
      <c r="N808" s="121" t="s">
        <v>4720</v>
      </c>
      <c r="O808" s="1044">
        <f>2890*2</f>
        <v>5780</v>
      </c>
      <c r="Q808" s="115" t="s">
        <v>4721</v>
      </c>
      <c r="R808" s="682">
        <v>2</v>
      </c>
      <c r="S808" s="361">
        <v>4</v>
      </c>
      <c r="T808" s="361">
        <v>2</v>
      </c>
      <c r="U808" s="2020" t="s">
        <v>4871</v>
      </c>
      <c r="V808" s="120">
        <v>46023</v>
      </c>
      <c r="W808" s="2061" t="s">
        <v>1519</v>
      </c>
      <c r="Y808" s="1486"/>
      <c r="Z808" s="1486"/>
    </row>
    <row r="809" spans="1:26" ht="12" customHeight="1">
      <c r="B809" s="457"/>
      <c r="D809" s="2139"/>
      <c r="E809" s="132"/>
      <c r="K809" s="15"/>
      <c r="N809" s="683"/>
      <c r="O809" s="2059"/>
      <c r="V809" s="2139"/>
    </row>
    <row r="810" spans="1:26" ht="12" customHeight="1">
      <c r="B810" s="457"/>
      <c r="D810" s="2139"/>
      <c r="E810" s="132"/>
      <c r="K810" s="15"/>
      <c r="N810" s="683"/>
      <c r="O810" s="2059"/>
      <c r="V810" s="2139"/>
    </row>
    <row r="811" spans="1:26" s="115" customFormat="1" ht="12" customHeight="1">
      <c r="A811" s="115" t="s">
        <v>5020</v>
      </c>
      <c r="B811" s="921" t="s">
        <v>1259</v>
      </c>
      <c r="C811" s="116">
        <v>46634</v>
      </c>
      <c r="D811" s="2189">
        <v>46655</v>
      </c>
      <c r="E811" s="361" t="s">
        <v>5021</v>
      </c>
      <c r="G811" s="361" t="s">
        <v>5022</v>
      </c>
      <c r="H811" s="115" t="s">
        <v>5023</v>
      </c>
      <c r="I811" s="115" t="s">
        <v>18</v>
      </c>
      <c r="J811" s="115" t="s">
        <v>51</v>
      </c>
      <c r="K811" s="124"/>
      <c r="L811" s="115" t="s">
        <v>5024</v>
      </c>
      <c r="N811" s="121" t="s">
        <v>5025</v>
      </c>
      <c r="O811" s="1044">
        <f>2090+2090+1690</f>
        <v>5870</v>
      </c>
      <c r="Q811" s="115" t="s">
        <v>1300</v>
      </c>
      <c r="R811" s="682">
        <v>3</v>
      </c>
      <c r="S811" s="361">
        <v>2</v>
      </c>
      <c r="T811" s="361">
        <v>3</v>
      </c>
      <c r="U811" s="2020" t="s">
        <v>5034</v>
      </c>
      <c r="V811" s="120">
        <v>46145</v>
      </c>
      <c r="W811" s="2061" t="s">
        <v>1665</v>
      </c>
      <c r="Y811" s="1486"/>
      <c r="Z811" s="1486"/>
    </row>
    <row r="812" spans="1:26" ht="12" customHeight="1">
      <c r="A812" s="7"/>
      <c r="B812" s="870"/>
      <c r="C812" s="29"/>
      <c r="D812" s="2062"/>
      <c r="E812" s="133"/>
      <c r="K812" s="15"/>
      <c r="N812" s="1103"/>
      <c r="O812" s="2059"/>
      <c r="U812" s="2050"/>
    </row>
    <row r="813" spans="1:26" ht="12" customHeight="1" thickBot="1">
      <c r="A813" s="7"/>
      <c r="B813" s="870"/>
      <c r="C813" s="29"/>
      <c r="D813" s="2062"/>
      <c r="E813" s="133"/>
      <c r="K813" s="15"/>
      <c r="N813" s="1103"/>
      <c r="O813" s="2059"/>
      <c r="U813" s="2050"/>
    </row>
    <row r="814" spans="1:26" s="407" customFormat="1" ht="12" customHeight="1" thickBot="1">
      <c r="A814" s="18" t="s">
        <v>4722</v>
      </c>
      <c r="B814" s="1050">
        <f>SUM(O795:O813)</f>
        <v>27470</v>
      </c>
      <c r="C814" s="826">
        <f>B814/B786</f>
        <v>0.42167472561209607</v>
      </c>
      <c r="D814" s="1584" t="s">
        <v>574</v>
      </c>
      <c r="E814" s="1585">
        <v>0</v>
      </c>
      <c r="G814" s="999"/>
      <c r="H814" s="998"/>
      <c r="I814" s="2010"/>
      <c r="J814" s="2010"/>
      <c r="K814" s="2010"/>
      <c r="L814" s="1538"/>
      <c r="M814" s="2010"/>
      <c r="N814" s="1121"/>
      <c r="O814" s="2011"/>
      <c r="P814" s="2010"/>
      <c r="Q814" s="2010"/>
      <c r="R814" s="2012"/>
      <c r="S814" s="2013"/>
      <c r="T814" s="2013"/>
      <c r="U814" s="2016"/>
      <c r="V814" s="2015"/>
      <c r="Y814" s="1519"/>
      <c r="Z814" s="1519"/>
    </row>
    <row r="815" spans="1:26" s="407" customFormat="1" ht="12" customHeight="1" thickBot="1">
      <c r="A815" s="768" t="s">
        <v>463</v>
      </c>
      <c r="B815" s="827">
        <f>SUM(R791:R813)</f>
        <v>13</v>
      </c>
      <c r="C815" s="1576">
        <f>B814/B815</f>
        <v>2113.0769230769229</v>
      </c>
      <c r="D815" s="1586" t="s">
        <v>575</v>
      </c>
      <c r="E815" s="1587"/>
      <c r="G815" s="999"/>
      <c r="H815" s="371"/>
      <c r="I815" s="2010"/>
      <c r="J815" s="2010"/>
      <c r="K815" s="2010"/>
      <c r="L815" s="1538"/>
      <c r="M815" s="2010"/>
      <c r="N815" s="1121"/>
      <c r="O815" s="2011"/>
      <c r="P815" s="2010"/>
      <c r="Q815" s="2010"/>
      <c r="R815" s="2012"/>
      <c r="S815" s="2013"/>
      <c r="T815" s="2013"/>
      <c r="U815" s="2016"/>
      <c r="V815" s="2015"/>
      <c r="Y815" s="1519"/>
      <c r="Z815" s="1519"/>
    </row>
    <row r="816" spans="1:26" s="407" customFormat="1" ht="12" customHeight="1" thickBot="1">
      <c r="A816" s="7"/>
      <c r="B816" s="7"/>
      <c r="C816" s="29"/>
      <c r="D816" s="1586" t="s">
        <v>576</v>
      </c>
      <c r="E816" s="1587"/>
      <c r="G816" s="999"/>
      <c r="H816" s="998"/>
      <c r="I816" s="2010"/>
      <c r="J816" s="2010"/>
      <c r="K816" s="2010"/>
      <c r="L816" s="1538"/>
      <c r="M816" s="2010"/>
      <c r="N816" s="1121"/>
      <c r="O816" s="2011"/>
      <c r="P816" s="2010"/>
      <c r="Q816" s="2010"/>
      <c r="R816" s="2012"/>
      <c r="S816" s="2013"/>
      <c r="T816" s="2013"/>
      <c r="U816" s="2016"/>
      <c r="V816" s="2015"/>
      <c r="Y816" s="1519"/>
      <c r="Z816" s="1519"/>
    </row>
    <row r="817" spans="1:26" s="407" customFormat="1" ht="12" customHeight="1" thickBot="1">
      <c r="A817" s="18" t="s">
        <v>464</v>
      </c>
      <c r="B817" s="917">
        <v>0</v>
      </c>
      <c r="C817" s="29"/>
      <c r="D817" s="1586" t="s">
        <v>1304</v>
      </c>
      <c r="E817" s="1587"/>
      <c r="G817" s="999"/>
      <c r="H817" s="998"/>
      <c r="I817" s="2010"/>
      <c r="J817" s="2010"/>
      <c r="K817" s="2010"/>
      <c r="L817" s="1538"/>
      <c r="M817" s="2010"/>
      <c r="N817" s="1121"/>
      <c r="O817" s="2011"/>
      <c r="P817" s="2010"/>
      <c r="Q817" s="2010"/>
      <c r="R817" s="2012"/>
      <c r="S817" s="2013"/>
      <c r="T817" s="2013"/>
      <c r="U817" s="2016"/>
      <c r="V817" s="2015"/>
      <c r="Y817" s="1519"/>
      <c r="Z817" s="1519"/>
    </row>
    <row r="818" spans="1:26" s="407" customFormat="1" ht="12" customHeight="1" thickBot="1">
      <c r="A818" s="852" t="s">
        <v>574</v>
      </c>
      <c r="B818" s="853">
        <f>E814</f>
        <v>0</v>
      </c>
      <c r="C818" s="29"/>
      <c r="D818" s="1586" t="s">
        <v>4310</v>
      </c>
      <c r="E818" s="1587"/>
      <c r="G818" s="999"/>
      <c r="H818" s="998"/>
      <c r="I818" s="2010"/>
      <c r="J818" s="2010"/>
      <c r="K818" s="2010"/>
      <c r="L818" s="1538"/>
      <c r="M818" s="2010"/>
      <c r="N818" s="1121"/>
      <c r="O818" s="2011"/>
      <c r="P818" s="2010"/>
      <c r="Q818" s="2010"/>
      <c r="R818" s="2012"/>
      <c r="S818" s="2013"/>
      <c r="T818" s="2013"/>
      <c r="U818" s="2016"/>
      <c r="V818" s="2015"/>
      <c r="Y818" s="1519"/>
      <c r="Z818" s="1519"/>
    </row>
    <row r="819" spans="1:26" s="407" customFormat="1" ht="12" customHeight="1">
      <c r="A819" s="510" t="s">
        <v>1534</v>
      </c>
      <c r="B819" s="854">
        <f>B814-B817-B818</f>
        <v>27470</v>
      </c>
      <c r="C819" s="29"/>
      <c r="D819" s="1586" t="s">
        <v>4308</v>
      </c>
      <c r="E819" s="1587"/>
      <c r="G819" s="999"/>
      <c r="H819" s="998"/>
      <c r="I819" s="2010"/>
      <c r="J819" s="2010"/>
      <c r="K819" s="2010"/>
      <c r="L819" s="1538"/>
      <c r="M819" s="2010"/>
      <c r="N819" s="1121"/>
      <c r="O819" s="2011"/>
      <c r="P819" s="2010"/>
      <c r="Q819" s="2010"/>
      <c r="R819" s="2012"/>
      <c r="S819" s="2013"/>
      <c r="T819" s="2013"/>
      <c r="U819" s="2016"/>
      <c r="V819" s="2015"/>
      <c r="Y819" s="1519"/>
      <c r="Z819" s="1519"/>
    </row>
    <row r="820" spans="1:26" ht="12" customHeight="1" thickBot="1">
      <c r="A820" s="768" t="s">
        <v>466</v>
      </c>
      <c r="B820" s="2024">
        <f>B819/12</f>
        <v>2289.1666666666665</v>
      </c>
      <c r="C820" s="29"/>
      <c r="D820" s="1588"/>
      <c r="E820" s="1589"/>
      <c r="K820" s="15"/>
      <c r="N820" s="49"/>
      <c r="O820" s="1035"/>
      <c r="U820" s="1905"/>
    </row>
    <row r="821" spans="1:26" ht="12" customHeight="1">
      <c r="A821" s="7"/>
      <c r="B821" s="870"/>
      <c r="C821" s="29"/>
      <c r="D821" s="2062"/>
      <c r="E821" s="133"/>
      <c r="K821" s="15"/>
      <c r="N821" s="1103"/>
      <c r="O821" s="2059"/>
      <c r="U821" s="2050"/>
    </row>
    <row r="822" spans="1:26" ht="12" customHeight="1">
      <c r="A822" s="7"/>
      <c r="B822" s="870"/>
      <c r="C822" s="29"/>
      <c r="D822" s="2062"/>
      <c r="E822" s="133"/>
      <c r="K822" s="15"/>
      <c r="N822" s="1103"/>
      <c r="O822" s="2059"/>
      <c r="U822" s="2050"/>
    </row>
    <row r="823" spans="1:26" ht="12" customHeight="1">
      <c r="A823" s="7"/>
      <c r="B823" s="870"/>
      <c r="C823" s="29"/>
      <c r="D823" s="2062"/>
      <c r="E823" s="133"/>
      <c r="K823" s="15"/>
      <c r="N823" s="1103"/>
      <c r="O823" s="2059"/>
      <c r="U823" s="2050"/>
    </row>
    <row r="824" spans="1:26" ht="12" customHeight="1">
      <c r="A824" s="7"/>
      <c r="B824" s="870"/>
      <c r="C824" s="29"/>
      <c r="D824" s="2062"/>
      <c r="E824" s="133"/>
      <c r="K824" s="15"/>
      <c r="N824" s="1103"/>
      <c r="O824" s="2059"/>
      <c r="U824" s="2050"/>
    </row>
    <row r="825" spans="1:26" ht="12" customHeight="1">
      <c r="A825" s="7"/>
      <c r="B825" s="870"/>
      <c r="C825" s="29"/>
      <c r="D825" s="2062"/>
      <c r="E825" s="133"/>
      <c r="K825" s="15"/>
      <c r="N825" s="1103"/>
      <c r="O825" s="2059"/>
      <c r="U825" s="2050"/>
    </row>
    <row r="826" spans="1:26" ht="12" customHeight="1">
      <c r="A826" s="2067">
        <v>2028</v>
      </c>
      <c r="B826" s="870"/>
      <c r="C826" s="29"/>
      <c r="D826" s="2062"/>
      <c r="E826" s="133"/>
      <c r="K826" s="15"/>
      <c r="N826" s="1103"/>
      <c r="O826" s="2059"/>
      <c r="U826" s="2050"/>
    </row>
    <row r="827" spans="1:26" ht="12" customHeight="1">
      <c r="A827" s="7"/>
      <c r="B827" s="870"/>
      <c r="C827" s="29"/>
      <c r="D827" s="2062"/>
      <c r="E827" s="133"/>
      <c r="K827" s="15"/>
      <c r="N827" s="1103"/>
      <c r="O827" s="2059"/>
      <c r="U827" s="2050"/>
    </row>
    <row r="828" spans="1:26" ht="12" customHeight="1">
      <c r="A828" s="7"/>
      <c r="B828" s="870"/>
      <c r="C828" s="29"/>
      <c r="D828" s="2062"/>
      <c r="E828" s="133"/>
      <c r="K828" s="15"/>
      <c r="N828" s="1103"/>
      <c r="O828" s="2059"/>
      <c r="U828" s="2050"/>
    </row>
    <row r="829" spans="1:26" ht="12" customHeight="1">
      <c r="B829" s="870"/>
      <c r="C829" s="29"/>
      <c r="D829" s="2062"/>
      <c r="E829" s="133"/>
      <c r="K829" s="15"/>
      <c r="N829" s="1103"/>
      <c r="O829" s="2059"/>
      <c r="U829" s="2050"/>
    </row>
    <row r="830" spans="1:26" s="115" customFormat="1" ht="12" customHeight="1">
      <c r="A830" s="2181" t="s">
        <v>5091</v>
      </c>
      <c r="B830" s="115" t="s">
        <v>5093</v>
      </c>
      <c r="C830" s="2182">
        <v>46900</v>
      </c>
      <c r="D830" s="2183">
        <v>46914</v>
      </c>
      <c r="E830" s="1613" t="s">
        <v>5092</v>
      </c>
      <c r="G830" s="1613" t="s">
        <v>5094</v>
      </c>
      <c r="H830" s="115" t="s">
        <v>5095</v>
      </c>
      <c r="I830" s="115" t="s">
        <v>168</v>
      </c>
      <c r="J830" s="115" t="s">
        <v>51</v>
      </c>
      <c r="K830" s="124"/>
      <c r="L830" s="115" t="s">
        <v>5096</v>
      </c>
      <c r="N830" s="121" t="s">
        <v>5090</v>
      </c>
      <c r="O830" s="1027">
        <f>1790+2190+70+3*2*14</f>
        <v>4134</v>
      </c>
      <c r="Q830" s="115" t="s">
        <v>1192</v>
      </c>
      <c r="R830" s="682">
        <v>2</v>
      </c>
      <c r="S830" s="361">
        <v>2</v>
      </c>
      <c r="T830" s="361">
        <v>2</v>
      </c>
      <c r="U830" s="2061" t="s">
        <v>5106</v>
      </c>
      <c r="V830" s="120">
        <v>46191</v>
      </c>
      <c r="Y830" s="1486" t="s">
        <v>5097</v>
      </c>
      <c r="Z830" s="1486"/>
    </row>
    <row r="831" spans="1:26" ht="12" customHeight="1">
      <c r="A831" s="2179"/>
      <c r="B831" s="870"/>
      <c r="C831" s="29"/>
      <c r="D831" s="2062"/>
      <c r="E831" s="133"/>
      <c r="K831" s="15"/>
      <c r="N831" s="1103"/>
      <c r="O831" s="2059"/>
      <c r="U831" s="2050"/>
    </row>
    <row r="832" spans="1:26" ht="12" customHeight="1">
      <c r="B832" s="870"/>
      <c r="C832" s="29"/>
      <c r="D832" s="2062"/>
      <c r="E832" s="133"/>
      <c r="K832" s="15"/>
      <c r="N832" s="1103"/>
      <c r="O832" s="2059"/>
      <c r="U832" s="2050"/>
    </row>
    <row r="833" spans="1:26" ht="12" customHeight="1">
      <c r="B833" s="870"/>
      <c r="C833" s="29"/>
      <c r="D833" s="2062"/>
      <c r="E833" s="133"/>
      <c r="K833" s="15"/>
      <c r="N833" s="1103"/>
      <c r="O833" s="2059"/>
      <c r="U833" s="2050"/>
    </row>
    <row r="834" spans="1:26" ht="12" customHeight="1" thickBot="1">
      <c r="A834" s="2180"/>
      <c r="B834" s="870"/>
      <c r="C834" s="29"/>
      <c r="D834" s="2062"/>
      <c r="E834" s="133"/>
      <c r="K834" s="15"/>
      <c r="N834" s="1103"/>
      <c r="O834" s="2059"/>
      <c r="U834" s="2050"/>
    </row>
    <row r="835" spans="1:26" s="407" customFormat="1" ht="12" customHeight="1" thickBot="1">
      <c r="A835" s="18" t="s">
        <v>5098</v>
      </c>
      <c r="B835" s="1050">
        <f>SUM(O827:O834)</f>
        <v>4134</v>
      </c>
      <c r="C835" s="826">
        <f>B835/B814</f>
        <v>0.1504914452129596</v>
      </c>
      <c r="D835" s="1584" t="s">
        <v>574</v>
      </c>
      <c r="E835" s="1585">
        <v>0</v>
      </c>
      <c r="G835" s="999"/>
      <c r="H835" s="998"/>
      <c r="I835" s="2010"/>
      <c r="J835" s="2010"/>
      <c r="K835" s="2010"/>
      <c r="L835" s="1538"/>
      <c r="M835" s="2010"/>
      <c r="N835" s="1121"/>
      <c r="O835" s="2011"/>
      <c r="P835" s="2010"/>
      <c r="Q835" s="2010"/>
      <c r="R835" s="2012"/>
      <c r="S835" s="2013"/>
      <c r="T835" s="2013"/>
      <c r="U835" s="2016"/>
      <c r="V835" s="2015"/>
      <c r="Y835" s="1519"/>
      <c r="Z835" s="1519"/>
    </row>
    <row r="836" spans="1:26" s="407" customFormat="1" ht="12" customHeight="1" thickBot="1">
      <c r="A836" s="768" t="s">
        <v>463</v>
      </c>
      <c r="B836" s="827">
        <f>SUM(R827:R834)</f>
        <v>2</v>
      </c>
      <c r="C836" s="1576">
        <f>B835/B836</f>
        <v>2067</v>
      </c>
      <c r="D836" s="1586" t="s">
        <v>575</v>
      </c>
      <c r="E836" s="1587"/>
      <c r="G836" s="999"/>
      <c r="H836" s="371"/>
      <c r="I836" s="2010"/>
      <c r="J836" s="2010"/>
      <c r="K836" s="2010"/>
      <c r="L836" s="1538"/>
      <c r="M836" s="2010"/>
      <c r="N836" s="1121"/>
      <c r="O836" s="2011"/>
      <c r="P836" s="2010"/>
      <c r="Q836" s="2010"/>
      <c r="R836" s="2012"/>
      <c r="S836" s="2013"/>
      <c r="T836" s="2013"/>
      <c r="U836" s="2016"/>
      <c r="V836" s="2015"/>
      <c r="Y836" s="1519"/>
      <c r="Z836" s="1519"/>
    </row>
    <row r="837" spans="1:26" s="407" customFormat="1" ht="12" customHeight="1" thickBot="1">
      <c r="A837" s="7"/>
      <c r="B837" s="7"/>
      <c r="C837" s="29"/>
      <c r="D837" s="1586" t="s">
        <v>576</v>
      </c>
      <c r="E837" s="1587"/>
      <c r="G837" s="999"/>
      <c r="H837" s="998"/>
      <c r="I837" s="2010"/>
      <c r="J837" s="2010"/>
      <c r="K837" s="2010"/>
      <c r="L837" s="1538"/>
      <c r="M837" s="2010"/>
      <c r="N837" s="1121"/>
      <c r="O837" s="2011"/>
      <c r="P837" s="2010"/>
      <c r="Q837" s="2010"/>
      <c r="R837" s="2012"/>
      <c r="S837" s="2013"/>
      <c r="T837" s="2013"/>
      <c r="U837" s="2016"/>
      <c r="V837" s="2015"/>
      <c r="Y837" s="1519"/>
      <c r="Z837" s="1519"/>
    </row>
    <row r="838" spans="1:26" s="407" customFormat="1" ht="12" customHeight="1" thickBot="1">
      <c r="A838" s="18" t="s">
        <v>464</v>
      </c>
      <c r="B838" s="917">
        <v>0</v>
      </c>
      <c r="C838" s="29"/>
      <c r="D838" s="1586" t="s">
        <v>1304</v>
      </c>
      <c r="E838" s="1587"/>
      <c r="G838" s="999"/>
      <c r="H838" s="998"/>
      <c r="I838" s="2010"/>
      <c r="J838" s="2010"/>
      <c r="K838" s="2010"/>
      <c r="L838" s="1538"/>
      <c r="M838" s="2010"/>
      <c r="N838" s="1121"/>
      <c r="O838" s="2011"/>
      <c r="P838" s="2010"/>
      <c r="Q838" s="2010"/>
      <c r="R838" s="2012"/>
      <c r="S838" s="2013"/>
      <c r="T838" s="2013"/>
      <c r="U838" s="2016"/>
      <c r="V838" s="2015"/>
      <c r="Y838" s="1519"/>
      <c r="Z838" s="1519"/>
    </row>
    <row r="839" spans="1:26" s="407" customFormat="1" ht="12" customHeight="1" thickBot="1">
      <c r="A839" s="852" t="s">
        <v>574</v>
      </c>
      <c r="B839" s="853">
        <f>E835</f>
        <v>0</v>
      </c>
      <c r="C839" s="29"/>
      <c r="D839" s="1586" t="s">
        <v>4310</v>
      </c>
      <c r="E839" s="1587"/>
      <c r="G839" s="999"/>
      <c r="H839" s="998"/>
      <c r="I839" s="2010"/>
      <c r="J839" s="2010"/>
      <c r="K839" s="2010"/>
      <c r="L839" s="1538"/>
      <c r="M839" s="2010"/>
      <c r="N839" s="1121"/>
      <c r="O839" s="2011"/>
      <c r="P839" s="2010"/>
      <c r="Q839" s="2010"/>
      <c r="R839" s="2012"/>
      <c r="S839" s="2013"/>
      <c r="T839" s="2013"/>
      <c r="U839" s="2016"/>
      <c r="V839" s="2015"/>
      <c r="Y839" s="1519"/>
      <c r="Z839" s="1519"/>
    </row>
    <row r="840" spans="1:26" s="407" customFormat="1" ht="12" customHeight="1">
      <c r="A840" s="510" t="s">
        <v>1534</v>
      </c>
      <c r="B840" s="854">
        <f>B835-B838-B839</f>
        <v>4134</v>
      </c>
      <c r="C840" s="29"/>
      <c r="D840" s="1586" t="s">
        <v>4308</v>
      </c>
      <c r="E840" s="1587"/>
      <c r="G840" s="999"/>
      <c r="H840" s="998"/>
      <c r="I840" s="2010"/>
      <c r="J840" s="2010"/>
      <c r="K840" s="2010"/>
      <c r="L840" s="1538"/>
      <c r="M840" s="2010"/>
      <c r="N840" s="1121"/>
      <c r="O840" s="2011"/>
      <c r="P840" s="2010"/>
      <c r="Q840" s="2010"/>
      <c r="R840" s="2012"/>
      <c r="S840" s="2013"/>
      <c r="T840" s="2013"/>
      <c r="U840" s="2016"/>
      <c r="V840" s="2015"/>
      <c r="Y840" s="1519"/>
      <c r="Z840" s="1519"/>
    </row>
    <row r="841" spans="1:26" ht="12" customHeight="1" thickBot="1">
      <c r="A841" s="768" t="s">
        <v>466</v>
      </c>
      <c r="B841" s="2024">
        <f>B840/12</f>
        <v>344.5</v>
      </c>
      <c r="C841" s="29"/>
      <c r="D841" s="1588"/>
      <c r="E841" s="1589"/>
      <c r="K841" s="15"/>
      <c r="N841" s="49"/>
      <c r="O841" s="1035"/>
      <c r="U841" s="1905"/>
    </row>
    <row r="842" spans="1:26" ht="12" customHeight="1">
      <c r="A842" s="7"/>
      <c r="B842" s="870"/>
      <c r="C842" s="29"/>
      <c r="D842" s="2062"/>
      <c r="E842" s="133"/>
      <c r="K842" s="15"/>
      <c r="N842" s="1103"/>
      <c r="O842" s="2059"/>
      <c r="U842" s="2050"/>
    </row>
    <row r="843" spans="1:26" ht="12" customHeight="1">
      <c r="A843" s="7"/>
      <c r="B843" s="870"/>
      <c r="C843" s="29"/>
      <c r="D843" s="2062"/>
      <c r="E843" s="133"/>
      <c r="K843" s="15"/>
      <c r="N843" s="1103"/>
      <c r="O843" s="2059"/>
      <c r="U843" s="2050"/>
    </row>
    <row r="844" spans="1:26" ht="12" customHeight="1">
      <c r="A844" s="7"/>
      <c r="B844" s="870"/>
      <c r="C844" s="29"/>
      <c r="D844" s="2062"/>
      <c r="E844" s="133"/>
      <c r="K844" s="15"/>
      <c r="N844" s="1103"/>
      <c r="O844" s="2059"/>
      <c r="U844" s="2050"/>
    </row>
    <row r="845" spans="1:26" ht="12" customHeight="1">
      <c r="A845" s="7"/>
      <c r="B845" s="870"/>
      <c r="C845" s="29"/>
      <c r="D845" s="2062"/>
      <c r="E845" s="133"/>
      <c r="K845" s="15"/>
      <c r="N845" s="1103"/>
      <c r="O845" s="2059"/>
      <c r="U845" s="2050"/>
    </row>
    <row r="846" spans="1:26" ht="12" customHeight="1">
      <c r="A846" s="7"/>
      <c r="B846" s="870"/>
      <c r="C846" s="29"/>
      <c r="D846" s="2062"/>
      <c r="E846" s="133"/>
      <c r="K846" s="15"/>
      <c r="N846" s="1103"/>
      <c r="O846" s="2059"/>
      <c r="U846" s="2050"/>
    </row>
    <row r="847" spans="1:26" ht="12" customHeight="1">
      <c r="A847" s="7"/>
      <c r="B847" s="870"/>
      <c r="C847" s="29"/>
      <c r="D847" s="2062"/>
      <c r="E847" s="133"/>
      <c r="K847" s="15"/>
      <c r="N847" s="1103"/>
      <c r="O847" s="2059"/>
      <c r="U847" s="2050"/>
    </row>
    <row r="848" spans="1:26" ht="12" customHeight="1">
      <c r="A848" s="7"/>
      <c r="B848" s="870"/>
      <c r="C848" s="29"/>
      <c r="D848" s="2062"/>
      <c r="E848" s="133"/>
      <c r="K848" s="15"/>
      <c r="N848" s="1103"/>
      <c r="O848" s="2059"/>
      <c r="U848" s="2050"/>
    </row>
    <row r="849" spans="1:23" ht="12" customHeight="1">
      <c r="A849" s="7"/>
      <c r="B849" s="870"/>
      <c r="C849" s="29"/>
      <c r="D849" s="2062"/>
      <c r="E849" s="133"/>
      <c r="K849" s="15"/>
      <c r="N849" s="1103"/>
      <c r="O849" s="2059"/>
      <c r="U849" s="2050"/>
    </row>
    <row r="850" spans="1:23" ht="12" customHeight="1">
      <c r="A850" s="7"/>
      <c r="B850" s="870"/>
      <c r="C850" s="29"/>
      <c r="D850" s="2062"/>
      <c r="E850" s="133"/>
      <c r="K850" s="15"/>
      <c r="N850" s="1103"/>
      <c r="O850" s="2059"/>
      <c r="U850" s="2050"/>
    </row>
    <row r="851" spans="1:23" ht="12" customHeight="1">
      <c r="A851" s="7"/>
      <c r="B851" s="870"/>
      <c r="C851" s="29"/>
      <c r="D851" s="2062"/>
      <c r="E851" s="133"/>
      <c r="K851" s="15"/>
      <c r="N851" s="1103"/>
      <c r="O851" s="2059"/>
      <c r="U851" s="2050"/>
    </row>
    <row r="852" spans="1:23" ht="12" customHeight="1">
      <c r="A852" s="7"/>
      <c r="B852" s="870"/>
      <c r="C852" s="29"/>
      <c r="D852" s="2062"/>
      <c r="E852" s="133"/>
      <c r="K852" s="15"/>
      <c r="N852" s="1103"/>
      <c r="O852" s="2059"/>
      <c r="U852" s="2050"/>
    </row>
    <row r="853" spans="1:23" ht="10.199999999999999">
      <c r="B853" s="457"/>
    </row>
    <row r="854" spans="1:23" ht="87.6" customHeight="1" thickBot="1">
      <c r="B854" s="457"/>
    </row>
    <row r="855" spans="1:23" ht="12" customHeight="1">
      <c r="A855" s="791" t="s">
        <v>234</v>
      </c>
      <c r="B855" s="792"/>
      <c r="C855" s="793"/>
      <c r="D855" s="793"/>
      <c r="E855" s="792"/>
      <c r="F855" s="792"/>
      <c r="G855" s="794"/>
      <c r="H855" s="792"/>
      <c r="I855" s="792"/>
      <c r="J855" s="792"/>
      <c r="K855" s="792"/>
      <c r="L855" s="792"/>
      <c r="M855" s="792"/>
      <c r="N855" s="792"/>
      <c r="O855" s="1049"/>
      <c r="P855" s="792"/>
      <c r="Q855" s="792"/>
      <c r="R855" s="880"/>
      <c r="S855" s="794"/>
      <c r="T855" s="794"/>
      <c r="U855" s="1910"/>
    </row>
    <row r="856" spans="1:23" ht="12" customHeight="1">
      <c r="A856" s="10" t="s">
        <v>240</v>
      </c>
      <c r="B856" s="8" t="s">
        <v>241</v>
      </c>
      <c r="C856" s="31">
        <v>38528</v>
      </c>
      <c r="D856" s="31">
        <v>38549</v>
      </c>
      <c r="E856" s="8" t="s">
        <v>235</v>
      </c>
      <c r="G856" s="132" t="s">
        <v>238</v>
      </c>
      <c r="H856" s="8" t="s">
        <v>239</v>
      </c>
      <c r="I856" s="8" t="s">
        <v>18</v>
      </c>
      <c r="J856" s="8" t="s">
        <v>51</v>
      </c>
      <c r="K856" s="8" t="s">
        <v>236</v>
      </c>
      <c r="L856" s="8" t="s">
        <v>245</v>
      </c>
      <c r="N856" s="49" t="s">
        <v>237</v>
      </c>
      <c r="O856" s="1012">
        <v>1650</v>
      </c>
      <c r="R856" s="685">
        <v>3</v>
      </c>
      <c r="S856" s="132">
        <v>2</v>
      </c>
      <c r="T856" s="132">
        <v>2</v>
      </c>
      <c r="U856" s="1861" t="s">
        <v>232</v>
      </c>
    </row>
    <row r="857" spans="1:23" ht="12" customHeight="1">
      <c r="A857" s="10" t="s">
        <v>297</v>
      </c>
      <c r="B857" s="8" t="s">
        <v>298</v>
      </c>
      <c r="C857" s="31">
        <v>38549</v>
      </c>
      <c r="D857" s="31">
        <v>38563</v>
      </c>
      <c r="E857" s="8" t="s">
        <v>299</v>
      </c>
      <c r="G857" s="132">
        <v>54190</v>
      </c>
      <c r="H857" s="8" t="s">
        <v>300</v>
      </c>
      <c r="I857" s="8" t="s">
        <v>23</v>
      </c>
      <c r="J857" s="8" t="s">
        <v>19</v>
      </c>
      <c r="K857" s="8" t="s">
        <v>301</v>
      </c>
      <c r="N857" s="49" t="s">
        <v>302</v>
      </c>
      <c r="O857" s="1012">
        <v>1300</v>
      </c>
      <c r="R857" s="685">
        <v>2</v>
      </c>
      <c r="S857" s="132">
        <v>2</v>
      </c>
      <c r="T857" s="132">
        <v>1</v>
      </c>
      <c r="U857" s="1861" t="s">
        <v>232</v>
      </c>
    </row>
    <row r="858" spans="1:23" ht="12" customHeight="1">
      <c r="A858" s="10" t="s">
        <v>303</v>
      </c>
      <c r="B858" s="8" t="s">
        <v>246</v>
      </c>
      <c r="C858" s="31">
        <v>38563</v>
      </c>
      <c r="D858" s="31">
        <v>38577</v>
      </c>
      <c r="E858" s="8" t="s">
        <v>251</v>
      </c>
      <c r="G858" s="132">
        <v>42000</v>
      </c>
      <c r="H858" s="8" t="s">
        <v>247</v>
      </c>
      <c r="I858" s="8" t="s">
        <v>23</v>
      </c>
      <c r="J858" s="8" t="s">
        <v>19</v>
      </c>
      <c r="K858" s="8" t="s">
        <v>248</v>
      </c>
      <c r="L858" s="8" t="s">
        <v>249</v>
      </c>
      <c r="N858" s="49"/>
      <c r="O858" s="1012">
        <v>1300</v>
      </c>
      <c r="R858" s="685">
        <v>2</v>
      </c>
      <c r="S858" s="132">
        <v>3</v>
      </c>
      <c r="U858" s="1861" t="s">
        <v>232</v>
      </c>
    </row>
    <row r="859" spans="1:23" ht="12" customHeight="1">
      <c r="A859" s="10" t="s">
        <v>304</v>
      </c>
      <c r="B859" s="8" t="s">
        <v>305</v>
      </c>
      <c r="C859" s="31">
        <v>38577</v>
      </c>
      <c r="D859" s="31">
        <v>38591</v>
      </c>
      <c r="E859" s="8" t="s">
        <v>306</v>
      </c>
      <c r="G859" s="132">
        <v>68542</v>
      </c>
      <c r="H859" s="8" t="s">
        <v>307</v>
      </c>
      <c r="I859" s="8" t="s">
        <v>18</v>
      </c>
      <c r="J859" s="8" t="s">
        <v>51</v>
      </c>
      <c r="K859" s="8" t="s">
        <v>308</v>
      </c>
      <c r="M859" s="8" t="s">
        <v>309</v>
      </c>
      <c r="N859" s="49" t="s">
        <v>310</v>
      </c>
      <c r="O859" s="1015">
        <v>1300</v>
      </c>
      <c r="Q859" s="8" t="s">
        <v>311</v>
      </c>
      <c r="R859" s="685">
        <v>2</v>
      </c>
      <c r="S859" s="132">
        <v>2</v>
      </c>
      <c r="T859" s="132">
        <v>1</v>
      </c>
      <c r="U859" s="1861" t="s">
        <v>232</v>
      </c>
      <c r="W859" s="8" t="s">
        <v>313</v>
      </c>
    </row>
    <row r="860" spans="1:23" ht="12" customHeight="1">
      <c r="A860" s="10" t="s">
        <v>290</v>
      </c>
      <c r="C860" s="31">
        <v>38591</v>
      </c>
      <c r="D860" s="31">
        <v>38605</v>
      </c>
      <c r="E860" s="8" t="s">
        <v>291</v>
      </c>
      <c r="G860" s="132">
        <v>66292</v>
      </c>
      <c r="H860" s="8" t="s">
        <v>292</v>
      </c>
      <c r="I860" s="8" t="s">
        <v>18</v>
      </c>
      <c r="J860" s="8" t="s">
        <v>51</v>
      </c>
      <c r="K860" s="8" t="s">
        <v>294</v>
      </c>
      <c r="L860" s="8" t="s">
        <v>295</v>
      </c>
      <c r="N860" s="2" t="s">
        <v>4525</v>
      </c>
      <c r="O860" s="1012">
        <v>1050</v>
      </c>
      <c r="Q860" s="8" t="s">
        <v>312</v>
      </c>
      <c r="R860" s="685">
        <v>2</v>
      </c>
      <c r="S860" s="132">
        <v>2</v>
      </c>
      <c r="T860" s="132">
        <v>1</v>
      </c>
      <c r="U860" s="1861" t="s">
        <v>232</v>
      </c>
    </row>
    <row r="861" spans="1:23" ht="12" customHeight="1">
      <c r="A861" s="10" t="s">
        <v>287</v>
      </c>
      <c r="C861" s="31">
        <v>38605</v>
      </c>
      <c r="D861" s="31">
        <v>38619</v>
      </c>
      <c r="E861" s="8" t="s">
        <v>288</v>
      </c>
      <c r="G861" s="132">
        <v>73061</v>
      </c>
      <c r="H861" s="8" t="s">
        <v>289</v>
      </c>
      <c r="I861" s="8" t="s">
        <v>18</v>
      </c>
      <c r="J861" s="8" t="s">
        <v>51</v>
      </c>
      <c r="N861" s="49" t="s">
        <v>286</v>
      </c>
      <c r="O861" s="1012">
        <v>900</v>
      </c>
      <c r="Q861" s="8" t="s">
        <v>311</v>
      </c>
      <c r="R861" s="685">
        <v>2</v>
      </c>
      <c r="S861" s="132">
        <v>2</v>
      </c>
      <c r="T861" s="132">
        <v>1</v>
      </c>
      <c r="U861" s="1861" t="s">
        <v>232</v>
      </c>
    </row>
    <row r="862" spans="1:23" ht="12" customHeight="1" thickBot="1">
      <c r="A862" s="519"/>
      <c r="B862" s="778"/>
      <c r="C862" s="819"/>
      <c r="D862" s="819"/>
      <c r="E862" s="778"/>
      <c r="F862" s="778"/>
      <c r="G862" s="779"/>
      <c r="H862" s="778"/>
      <c r="I862" s="778"/>
      <c r="J862" s="778"/>
      <c r="K862" s="778"/>
      <c r="L862" s="778"/>
      <c r="M862" s="778"/>
      <c r="N862" s="778"/>
      <c r="O862" s="1016">
        <f>SUM(O856:O861)</f>
        <v>7500</v>
      </c>
      <c r="P862" s="778"/>
      <c r="Q862" s="778"/>
      <c r="R862" s="895">
        <f>SUM(R856:R861)</f>
        <v>13</v>
      </c>
      <c r="S862" s="779"/>
      <c r="T862" s="779"/>
      <c r="U862" s="1850"/>
    </row>
    <row r="864" spans="1:23" ht="12" customHeight="1">
      <c r="O864" s="1015">
        <f>7500*0.75</f>
        <v>5625</v>
      </c>
    </row>
    <row r="865" spans="1:14" ht="12" customHeight="1">
      <c r="A865" s="8" t="s">
        <v>467</v>
      </c>
    </row>
    <row r="866" spans="1:14" ht="12" customHeight="1">
      <c r="A866" s="8" t="s">
        <v>468</v>
      </c>
      <c r="N866" s="8" t="s">
        <v>469</v>
      </c>
    </row>
    <row r="867" spans="1:14" ht="12" customHeight="1">
      <c r="C867" s="8"/>
      <c r="D867" s="8"/>
      <c r="N867" s="49"/>
    </row>
    <row r="868" spans="1:14" ht="12" customHeight="1">
      <c r="C868" s="8"/>
      <c r="D868" s="8"/>
      <c r="N868" s="49"/>
    </row>
    <row r="869" spans="1:14" ht="12" customHeight="1">
      <c r="C869" s="8"/>
      <c r="D869" s="8"/>
      <c r="N869" s="49"/>
    </row>
    <row r="870" spans="1:14" ht="12" customHeight="1">
      <c r="C870" s="8"/>
      <c r="D870" s="8"/>
      <c r="N870" s="49"/>
    </row>
    <row r="871" spans="1:14" ht="12" customHeight="1">
      <c r="C871" s="8"/>
      <c r="D871" s="8"/>
      <c r="N871" s="49"/>
    </row>
    <row r="872" spans="1:14" ht="12" customHeight="1">
      <c r="C872" s="8"/>
      <c r="D872" s="8"/>
      <c r="N872" s="49"/>
    </row>
    <row r="873" spans="1:14" ht="12" customHeight="1">
      <c r="C873" s="8"/>
      <c r="D873" s="8"/>
      <c r="N873" s="49"/>
    </row>
    <row r="874" spans="1:14" ht="12" customHeight="1">
      <c r="C874" s="8"/>
      <c r="D874" s="8"/>
      <c r="N874" s="49"/>
    </row>
    <row r="875" spans="1:14" ht="12" customHeight="1">
      <c r="C875" s="8"/>
      <c r="D875" s="8"/>
      <c r="N875" s="49"/>
    </row>
    <row r="876" spans="1:14" ht="12" customHeight="1">
      <c r="C876" s="8"/>
      <c r="D876" s="8"/>
      <c r="N876" s="49"/>
    </row>
    <row r="877" spans="1:14" ht="12" customHeight="1">
      <c r="C877" s="8"/>
      <c r="D877" s="8"/>
      <c r="N877" s="49"/>
    </row>
    <row r="878" spans="1:14" ht="12" customHeight="1">
      <c r="C878" s="8"/>
      <c r="D878" s="8"/>
      <c r="N878" s="49"/>
    </row>
    <row r="879" spans="1:14" ht="12" customHeight="1">
      <c r="C879" s="8"/>
      <c r="D879" s="8"/>
      <c r="N879" s="49"/>
    </row>
    <row r="880" spans="1:14" ht="12" customHeight="1">
      <c r="C880" s="8"/>
      <c r="D880" s="8"/>
      <c r="N880" s="49"/>
    </row>
    <row r="881" spans="3:14" ht="12" customHeight="1">
      <c r="C881" s="8"/>
      <c r="D881" s="8"/>
      <c r="N881" s="49"/>
    </row>
    <row r="882" spans="3:14" ht="12" customHeight="1">
      <c r="C882" s="8"/>
      <c r="D882" s="8"/>
      <c r="N882" s="49"/>
    </row>
    <row r="883" spans="3:14" ht="12" customHeight="1">
      <c r="C883" s="8"/>
      <c r="D883" s="8"/>
      <c r="N883" s="49"/>
    </row>
    <row r="884" spans="3:14" ht="12" customHeight="1">
      <c r="C884" s="8"/>
      <c r="D884" s="8"/>
      <c r="N884" s="49"/>
    </row>
    <row r="885" spans="3:14" ht="12" customHeight="1">
      <c r="C885" s="8"/>
      <c r="D885" s="8"/>
      <c r="N885" s="49"/>
    </row>
    <row r="886" spans="3:14" ht="12" customHeight="1">
      <c r="C886" s="8"/>
      <c r="D886" s="8"/>
      <c r="N886" s="49"/>
    </row>
    <row r="887" spans="3:14" ht="12" customHeight="1">
      <c r="C887" s="8"/>
      <c r="D887" s="8"/>
      <c r="N887" s="49"/>
    </row>
  </sheetData>
  <phoneticPr fontId="0" type="noConversion"/>
  <conditionalFormatting sqref="B82 B115 B147 B190 B246 B310 B376">
    <cfRule type="cellIs" dxfId="232" priority="63" stopIfTrue="1" operator="lessThan">
      <formula>0</formula>
    </cfRule>
    <cfRule type="cellIs" dxfId="231" priority="62" stopIfTrue="1" operator="greaterThanOrEqual">
      <formula>0</formula>
    </cfRule>
  </conditionalFormatting>
  <conditionalFormatting sqref="B83 B116 B148 B191 B247 B311 B377 B419">
    <cfRule type="cellIs" dxfId="230" priority="65" stopIfTrue="1" operator="between">
      <formula>1000</formula>
      <formula>2000</formula>
    </cfRule>
    <cfRule type="cellIs" dxfId="229" priority="64" stopIfTrue="1" operator="between">
      <formula>0</formula>
      <formula>1000</formula>
    </cfRule>
    <cfRule type="cellIs" dxfId="228" priority="66" stopIfTrue="1" operator="greaterThan">
      <formula>2000</formula>
    </cfRule>
  </conditionalFormatting>
  <conditionalFormatting sqref="B418">
    <cfRule type="cellIs" dxfId="227" priority="57" stopIfTrue="1" operator="lessThan">
      <formula>0</formula>
    </cfRule>
    <cfRule type="cellIs" dxfId="226" priority="56" stopIfTrue="1" operator="greaterThanOrEqual">
      <formula>0</formula>
    </cfRule>
  </conditionalFormatting>
  <conditionalFormatting sqref="B453">
    <cfRule type="cellIs" dxfId="225" priority="52" stopIfTrue="1" operator="lessThan">
      <formula>0</formula>
    </cfRule>
    <cfRule type="cellIs" dxfId="224" priority="51" stopIfTrue="1" operator="greaterThanOrEqual">
      <formula>0</formula>
    </cfRule>
  </conditionalFormatting>
  <conditionalFormatting sqref="B454">
    <cfRule type="cellIs" dxfId="223" priority="55" stopIfTrue="1" operator="greaterThan">
      <formula>2000</formula>
    </cfRule>
    <cfRule type="cellIs" dxfId="222" priority="54" stopIfTrue="1" operator="between">
      <formula>1000</formula>
      <formula>2000</formula>
    </cfRule>
    <cfRule type="cellIs" dxfId="221" priority="53" stopIfTrue="1" operator="between">
      <formula>0</formula>
      <formula>1000</formula>
    </cfRule>
  </conditionalFormatting>
  <conditionalFormatting sqref="B496">
    <cfRule type="cellIs" dxfId="220" priority="47" stopIfTrue="1" operator="lessThan">
      <formula>0</formula>
    </cfRule>
    <cfRule type="cellIs" dxfId="219" priority="46" stopIfTrue="1" operator="greaterThanOrEqual">
      <formula>0</formula>
    </cfRule>
  </conditionalFormatting>
  <conditionalFormatting sqref="B497">
    <cfRule type="cellIs" dxfId="218" priority="48" stopIfTrue="1" operator="between">
      <formula>0</formula>
      <formula>1000</formula>
    </cfRule>
    <cfRule type="cellIs" dxfId="217" priority="50" stopIfTrue="1" operator="greaterThan">
      <formula>2000</formula>
    </cfRule>
    <cfRule type="cellIs" dxfId="216" priority="49" stopIfTrue="1" operator="between">
      <formula>1000</formula>
      <formula>2000</formula>
    </cfRule>
  </conditionalFormatting>
  <conditionalFormatting sqref="B537">
    <cfRule type="cellIs" dxfId="215" priority="42" stopIfTrue="1" operator="lessThan">
      <formula>0</formula>
    </cfRule>
    <cfRule type="cellIs" dxfId="214" priority="41" stopIfTrue="1" operator="greaterThanOrEqual">
      <formula>0</formula>
    </cfRule>
  </conditionalFormatting>
  <conditionalFormatting sqref="B538">
    <cfRule type="cellIs" dxfId="213" priority="45" stopIfTrue="1" operator="greaterThan">
      <formula>2000</formula>
    </cfRule>
    <cfRule type="cellIs" dxfId="212" priority="44" stopIfTrue="1" operator="between">
      <formula>1000</formula>
      <formula>2000</formula>
    </cfRule>
    <cfRule type="cellIs" dxfId="211" priority="43" stopIfTrue="1" operator="between">
      <formula>0</formula>
      <formula>1000</formula>
    </cfRule>
  </conditionalFormatting>
  <conditionalFormatting sqref="B581">
    <cfRule type="cellIs" dxfId="210" priority="37" stopIfTrue="1" operator="lessThan">
      <formula>0</formula>
    </cfRule>
    <cfRule type="cellIs" dxfId="209" priority="36" stopIfTrue="1" operator="greaterThanOrEqual">
      <formula>0</formula>
    </cfRule>
  </conditionalFormatting>
  <conditionalFormatting sqref="B582">
    <cfRule type="cellIs" dxfId="208" priority="38" stopIfTrue="1" operator="between">
      <formula>0</formula>
      <formula>1000</formula>
    </cfRule>
    <cfRule type="cellIs" dxfId="207" priority="39" stopIfTrue="1" operator="between">
      <formula>1000</formula>
      <formula>2000</formula>
    </cfRule>
    <cfRule type="cellIs" dxfId="206" priority="40" stopIfTrue="1" operator="greaterThan">
      <formula>2000</formula>
    </cfRule>
  </conditionalFormatting>
  <conditionalFormatting sqref="B621">
    <cfRule type="cellIs" dxfId="205" priority="32" stopIfTrue="1" operator="lessThan">
      <formula>0</formula>
    </cfRule>
    <cfRule type="cellIs" dxfId="204" priority="31" stopIfTrue="1" operator="greaterThanOrEqual">
      <formula>0</formula>
    </cfRule>
  </conditionalFormatting>
  <conditionalFormatting sqref="B622">
    <cfRule type="cellIs" dxfId="203" priority="33" stopIfTrue="1" operator="between">
      <formula>0</formula>
      <formula>1000</formula>
    </cfRule>
    <cfRule type="cellIs" dxfId="202" priority="34" stopIfTrue="1" operator="between">
      <formula>1000</formula>
      <formula>2000</formula>
    </cfRule>
    <cfRule type="cellIs" dxfId="201" priority="35" stopIfTrue="1" operator="greaterThan">
      <formula>2000</formula>
    </cfRule>
  </conditionalFormatting>
  <conditionalFormatting sqref="B658">
    <cfRule type="cellIs" dxfId="200" priority="27" stopIfTrue="1" operator="lessThan">
      <formula>0</formula>
    </cfRule>
    <cfRule type="cellIs" dxfId="199" priority="26" stopIfTrue="1" operator="greaterThanOrEqual">
      <formula>0</formula>
    </cfRule>
  </conditionalFormatting>
  <conditionalFormatting sqref="B659">
    <cfRule type="cellIs" dxfId="198" priority="30" stopIfTrue="1" operator="greaterThan">
      <formula>2000</formula>
    </cfRule>
    <cfRule type="cellIs" dxfId="197" priority="29" stopIfTrue="1" operator="between">
      <formula>1000</formula>
      <formula>2000</formula>
    </cfRule>
    <cfRule type="cellIs" dxfId="196" priority="28" stopIfTrue="1" operator="between">
      <formula>0</formula>
      <formula>1000</formula>
    </cfRule>
  </conditionalFormatting>
  <conditionalFormatting sqref="B706">
    <cfRule type="cellIs" dxfId="195" priority="22" stopIfTrue="1" operator="lessThan">
      <formula>0</formula>
    </cfRule>
    <cfRule type="cellIs" dxfId="194" priority="21" stopIfTrue="1" operator="greaterThanOrEqual">
      <formula>0</formula>
    </cfRule>
  </conditionalFormatting>
  <conditionalFormatting sqref="B707">
    <cfRule type="cellIs" dxfId="193" priority="25" stopIfTrue="1" operator="greaterThan">
      <formula>2000</formula>
    </cfRule>
    <cfRule type="cellIs" dxfId="192" priority="24" stopIfTrue="1" operator="between">
      <formula>1000</formula>
      <formula>2000</formula>
    </cfRule>
    <cfRule type="cellIs" dxfId="191" priority="23" stopIfTrue="1" operator="between">
      <formula>0</formula>
      <formula>1000</formula>
    </cfRule>
  </conditionalFormatting>
  <conditionalFormatting sqref="B747">
    <cfRule type="cellIs" dxfId="190" priority="17" stopIfTrue="1" operator="lessThan">
      <formula>0</formula>
    </cfRule>
    <cfRule type="cellIs" dxfId="189" priority="16" stopIfTrue="1" operator="greaterThanOrEqual">
      <formula>0</formula>
    </cfRule>
  </conditionalFormatting>
  <conditionalFormatting sqref="B748">
    <cfRule type="cellIs" dxfId="188" priority="20" stopIfTrue="1" operator="greaterThan">
      <formula>2000</formula>
    </cfRule>
    <cfRule type="cellIs" dxfId="187" priority="18" stopIfTrue="1" operator="between">
      <formula>0</formula>
      <formula>1000</formula>
    </cfRule>
    <cfRule type="cellIs" dxfId="186" priority="19" stopIfTrue="1" operator="between">
      <formula>1000</formula>
      <formula>2000</formula>
    </cfRule>
  </conditionalFormatting>
  <conditionalFormatting sqref="B791">
    <cfRule type="cellIs" dxfId="185" priority="12" stopIfTrue="1" operator="lessThan">
      <formula>0</formula>
    </cfRule>
    <cfRule type="cellIs" dxfId="184" priority="11" stopIfTrue="1" operator="greaterThanOrEqual">
      <formula>0</formula>
    </cfRule>
  </conditionalFormatting>
  <conditionalFormatting sqref="B792">
    <cfRule type="cellIs" dxfId="183" priority="13" stopIfTrue="1" operator="between">
      <formula>0</formula>
      <formula>1000</formula>
    </cfRule>
    <cfRule type="cellIs" dxfId="182" priority="15" stopIfTrue="1" operator="greaterThan">
      <formula>2000</formula>
    </cfRule>
    <cfRule type="cellIs" dxfId="181" priority="14" stopIfTrue="1" operator="between">
      <formula>1000</formula>
      <formula>2000</formula>
    </cfRule>
  </conditionalFormatting>
  <conditionalFormatting sqref="B819">
    <cfRule type="cellIs" dxfId="180" priority="7" stopIfTrue="1" operator="lessThan">
      <formula>0</formula>
    </cfRule>
    <cfRule type="cellIs" dxfId="179" priority="6" stopIfTrue="1" operator="greaterThanOrEqual">
      <formula>0</formula>
    </cfRule>
  </conditionalFormatting>
  <conditionalFormatting sqref="B820">
    <cfRule type="cellIs" dxfId="178" priority="8" stopIfTrue="1" operator="between">
      <formula>0</formula>
      <formula>1000</formula>
    </cfRule>
    <cfRule type="cellIs" dxfId="177" priority="10" stopIfTrue="1" operator="greaterThan">
      <formula>2000</formula>
    </cfRule>
    <cfRule type="cellIs" dxfId="176" priority="9" stopIfTrue="1" operator="between">
      <formula>1000</formula>
      <formula>2000</formula>
    </cfRule>
  </conditionalFormatting>
  <conditionalFormatting sqref="B840">
    <cfRule type="cellIs" dxfId="175" priority="2" stopIfTrue="1" operator="lessThan">
      <formula>0</formula>
    </cfRule>
    <cfRule type="cellIs" dxfId="174" priority="1" stopIfTrue="1" operator="greaterThanOrEqual">
      <formula>0</formula>
    </cfRule>
  </conditionalFormatting>
  <conditionalFormatting sqref="B841">
    <cfRule type="cellIs" dxfId="173" priority="3" stopIfTrue="1" operator="between">
      <formula>0</formula>
      <formula>1000</formula>
    </cfRule>
    <cfRule type="cellIs" dxfId="172" priority="5" stopIfTrue="1" operator="greaterThan">
      <formula>2000</formula>
    </cfRule>
    <cfRule type="cellIs" dxfId="171" priority="4" stopIfTrue="1" operator="between">
      <formula>1000</formula>
      <formula>2000</formula>
    </cfRule>
  </conditionalFormatting>
  <hyperlinks>
    <hyperlink ref="N9" r:id="rId1" xr:uid="{00000000-0004-0000-0100-000000000000}"/>
    <hyperlink ref="N12" r:id="rId2" xr:uid="{00000000-0004-0000-0100-000001000000}"/>
    <hyperlink ref="N11" r:id="rId3" xr:uid="{00000000-0004-0000-0100-000002000000}"/>
    <hyperlink ref="N16" r:id="rId4" xr:uid="{00000000-0004-0000-0100-000003000000}"/>
    <hyperlink ref="N10" r:id="rId5" xr:uid="{00000000-0004-0000-0100-000005000000}"/>
    <hyperlink ref="N7" r:id="rId6" xr:uid="{00000000-0004-0000-0100-000006000000}"/>
    <hyperlink ref="N8" r:id="rId7" xr:uid="{00000000-0004-0000-0100-000007000000}"/>
    <hyperlink ref="N36" r:id="rId8" xr:uid="{00000000-0004-0000-0100-000009000000}"/>
    <hyperlink ref="N34" r:id="rId9" xr:uid="{00000000-0004-0000-0100-00000B000000}"/>
    <hyperlink ref="N40" r:id="rId10" xr:uid="{00000000-0004-0000-0100-00000C000000}"/>
    <hyperlink ref="N43" r:id="rId11" xr:uid="{00000000-0004-0000-0100-00000D000000}"/>
    <hyperlink ref="N35" r:id="rId12" xr:uid="{00000000-0004-0000-0100-00000E000000}"/>
    <hyperlink ref="N41" r:id="rId13" xr:uid="{00000000-0004-0000-0100-00000F000000}"/>
    <hyperlink ref="N38" r:id="rId14" xr:uid="{00000000-0004-0000-0100-000010000000}"/>
    <hyperlink ref="N42" r:id="rId15" xr:uid="{00000000-0004-0000-0100-000011000000}"/>
    <hyperlink ref="N47" r:id="rId16" xr:uid="{00000000-0004-0000-0100-000013000000}"/>
    <hyperlink ref="N46" r:id="rId17" xr:uid="{00000000-0004-0000-0100-000014000000}"/>
    <hyperlink ref="N64" r:id="rId18" xr:uid="{00000000-0004-0000-0100-000015000000}"/>
    <hyperlink ref="N72" r:id="rId19" xr:uid="{00000000-0004-0000-0100-000017000000}"/>
    <hyperlink ref="N67" r:id="rId20" xr:uid="{00000000-0004-0000-0100-000018000000}"/>
    <hyperlink ref="N74" r:id="rId21" xr:uid="{00000000-0004-0000-0100-000019000000}"/>
    <hyperlink ref="N60" r:id="rId22" xr:uid="{00000000-0004-0000-0100-00001B000000}"/>
    <hyperlink ref="N63" r:id="rId23" xr:uid="{00000000-0004-0000-0100-00001C000000}"/>
    <hyperlink ref="N66" r:id="rId24" xr:uid="{00000000-0004-0000-0100-00001E000000}"/>
    <hyperlink ref="N73" r:id="rId25" xr:uid="{00000000-0004-0000-0100-00001F000000}"/>
    <hyperlink ref="N95" r:id="rId26" xr:uid="{00000000-0004-0000-0100-000020000000}"/>
    <hyperlink ref="N93" r:id="rId27" xr:uid="{00000000-0004-0000-0100-000021000000}"/>
    <hyperlink ref="N89" r:id="rId28" xr:uid="{00000000-0004-0000-0100-000023000000}"/>
    <hyperlink ref="N90" r:id="rId29" xr:uid="{00000000-0004-0000-0100-000024000000}"/>
    <hyperlink ref="N102" r:id="rId30" xr:uid="{00000000-0004-0000-0100-000025000000}"/>
    <hyperlink ref="N92" r:id="rId31" xr:uid="{00000000-0004-0000-0100-000026000000}"/>
    <hyperlink ref="N101" r:id="rId32" xr:uid="{00000000-0004-0000-0100-00002A000000}"/>
    <hyperlink ref="N128" r:id="rId33" xr:uid="{00000000-0004-0000-0100-00002B000000}"/>
    <hyperlink ref="N106" r:id="rId34" xr:uid="{00000000-0004-0000-0100-00002C000000}"/>
    <hyperlink ref="N107" r:id="rId35" xr:uid="{00000000-0004-0000-0100-00002E000000}"/>
    <hyperlink ref="N97" r:id="rId36" xr:uid="{00000000-0004-0000-0100-00002F000000}"/>
    <hyperlink ref="N108" r:id="rId37" xr:uid="{00000000-0004-0000-0100-000031000000}"/>
    <hyperlink ref="N125" r:id="rId38" xr:uid="{00000000-0004-0000-0100-000032000000}"/>
    <hyperlink ref="N124" r:id="rId39" xr:uid="{00000000-0004-0000-0100-000033000000}"/>
    <hyperlink ref="N127" r:id="rId40" xr:uid="{00000000-0004-0000-0100-000034000000}"/>
    <hyperlink ref="N123" r:id="rId41" xr:uid="{00000000-0004-0000-0100-000037000000}"/>
    <hyperlink ref="N130" r:id="rId42" xr:uid="{00000000-0004-0000-0100-000038000000}"/>
    <hyperlink ref="N134" r:id="rId43" xr:uid="{00000000-0004-0000-0100-00003A000000}"/>
    <hyperlink ref="N152" r:id="rId44" xr:uid="{00000000-0004-0000-0100-00003B000000}"/>
    <hyperlink ref="N135" r:id="rId45" xr:uid="{00000000-0004-0000-0100-00003C000000}"/>
    <hyperlink ref="N139" r:id="rId46" xr:uid="{00000000-0004-0000-0100-00003E000000}"/>
    <hyperlink ref="N165" r:id="rId47" xr:uid="{00000000-0004-0000-0100-00003F000000}"/>
    <hyperlink ref="N156" r:id="rId48" xr:uid="{00000000-0004-0000-0100-000040000000}"/>
    <hyperlink ref="N161" r:id="rId49" xr:uid="{00000000-0004-0000-0100-000044000000}"/>
    <hyperlink ref="N155" r:id="rId50" xr:uid="{00000000-0004-0000-0100-000046000000}"/>
    <hyperlink ref="N157" r:id="rId51" xr:uid="{00000000-0004-0000-0100-000047000000}"/>
    <hyperlink ref="N159" r:id="rId52" xr:uid="{00000000-0004-0000-0100-000048000000}"/>
    <hyperlink ref="N239" r:id="rId53" display="erwanhubert@free.fr" xr:uid="{00000000-0004-0000-0100-00004B000000}"/>
    <hyperlink ref="N203" r:id="rId54" xr:uid="{00000000-0004-0000-0100-00004C000000}"/>
    <hyperlink ref="N216" r:id="rId55" xr:uid="{00000000-0004-0000-0100-00004E000000}"/>
    <hyperlink ref="N204" r:id="rId56" xr:uid="{00000000-0004-0000-0100-000050000000}"/>
    <hyperlink ref="N212" r:id="rId57" xr:uid="{00000000-0004-0000-0100-000052000000}"/>
    <hyperlink ref="N211" r:id="rId58" xr:uid="{00000000-0004-0000-0100-000054000000}"/>
    <hyperlink ref="N206" r:id="rId59" xr:uid="{00000000-0004-0000-0100-000055000000}"/>
    <hyperlink ref="N200" r:id="rId60" xr:uid="{00000000-0004-0000-0100-000056000000}"/>
    <hyperlink ref="N205" r:id="rId61" xr:uid="{00000000-0004-0000-0100-000057000000}"/>
    <hyperlink ref="N208" r:id="rId62" xr:uid="{00000000-0004-0000-0100-000058000000}"/>
    <hyperlink ref="N214" r:id="rId63" xr:uid="{00000000-0004-0000-0100-000059000000}"/>
    <hyperlink ref="N207" r:id="rId64" xr:uid="{00000000-0004-0000-0100-00005A000000}"/>
    <hyperlink ref="N209" r:id="rId65" xr:uid="{00000000-0004-0000-0100-00005B000000}"/>
    <hyperlink ref="N303" r:id="rId66" display="erwanhubert@free.fr" xr:uid="{00000000-0004-0000-0100-00005C000000}"/>
    <hyperlink ref="N261" r:id="rId67" xr:uid="{00000000-0004-0000-0100-00005D000000}"/>
    <hyperlink ref="N263" r:id="rId68" xr:uid="{00000000-0004-0000-0100-00005E000000}"/>
    <hyperlink ref="N217" r:id="rId69" xr:uid="{00000000-0004-0000-0100-000061000000}"/>
    <hyperlink ref="N252" r:id="rId70" xr:uid="{00000000-0004-0000-0100-000062000000}"/>
    <hyperlink ref="N258" r:id="rId71" xr:uid="{00000000-0004-0000-0100-000063000000}"/>
    <hyperlink ref="N257" r:id="rId72" xr:uid="{00000000-0004-0000-0100-000064000000}"/>
    <hyperlink ref="N269" r:id="rId73" xr:uid="{00000000-0004-0000-0100-000065000000}"/>
    <hyperlink ref="N254" r:id="rId74" xr:uid="{00000000-0004-0000-0100-000066000000}"/>
    <hyperlink ref="N262" r:id="rId75" xr:uid="{00000000-0004-0000-0100-000067000000}"/>
    <hyperlink ref="N260" r:id="rId76" xr:uid="{00000000-0004-0000-0100-000068000000}"/>
    <hyperlink ref="N255" r:id="rId77" xr:uid="{00000000-0004-0000-0100-000069000000}"/>
    <hyperlink ref="N268" r:id="rId78" xr:uid="{00000000-0004-0000-0100-00006A000000}"/>
    <hyperlink ref="N259" r:id="rId79" xr:uid="{00000000-0004-0000-0100-00006C000000}"/>
    <hyperlink ref="N266" r:id="rId80" xr:uid="{00000000-0004-0000-0100-00006F000000}"/>
    <hyperlink ref="N270" r:id="rId81" xr:uid="{00000000-0004-0000-0100-000070000000}"/>
    <hyperlink ref="N265" r:id="rId82" xr:uid="{00000000-0004-0000-0100-000071000000}"/>
    <hyperlink ref="N272" r:id="rId83" xr:uid="{00000000-0004-0000-0100-000072000000}"/>
    <hyperlink ref="N271" r:id="rId84" xr:uid="{00000000-0004-0000-0100-000073000000}"/>
    <hyperlink ref="N369" r:id="rId85" display="erwanhubert@free.fr" xr:uid="{00000000-0004-0000-0100-000074000000}"/>
    <hyperlink ref="N273" r:id="rId86" xr:uid="{00000000-0004-0000-0100-000076000000}"/>
    <hyperlink ref="N859" r:id="rId87" xr:uid="{00000000-0004-0000-0100-000081000000}"/>
    <hyperlink ref="N857" r:id="rId88" xr:uid="{00000000-0004-0000-0100-000082000000}"/>
    <hyperlink ref="N861" r:id="rId89" xr:uid="{00000000-0004-0000-0100-000083000000}"/>
    <hyperlink ref="N856" r:id="rId90" xr:uid="{00000000-0004-0000-0100-00008A000000}"/>
    <hyperlink ref="N394" r:id="rId91" xr:uid="{00000000-0004-0000-0100-00008E000000}"/>
    <hyperlink ref="N386" r:id="rId92" xr:uid="{00000000-0004-0000-0100-00008F000000}"/>
    <hyperlink ref="N401" r:id="rId93" display="mailto:sandra@rudelwohl-zach.de" xr:uid="{00000000-0004-0000-0100-000092000000}"/>
    <hyperlink ref="N392" r:id="rId94" xr:uid="{00000000-0004-0000-0100-000096000000}"/>
    <hyperlink ref="N385" r:id="rId95" xr:uid="{00000000-0004-0000-0100-000097000000}"/>
    <hyperlink ref="N389" r:id="rId96" xr:uid="{00000000-0004-0000-0100-000098000000}"/>
    <hyperlink ref="N395" r:id="rId97" xr:uid="{00000000-0004-0000-0100-00009A000000}"/>
    <hyperlink ref="N390" r:id="rId98" xr:uid="{00000000-0004-0000-0100-00009B000000}"/>
    <hyperlink ref="N384" r:id="rId99" xr:uid="{00000000-0004-0000-0100-00009C000000}"/>
    <hyperlink ref="L387" r:id="rId100" display="tel:+4915115307260" xr:uid="{00000000-0004-0000-0100-00009D000000}"/>
    <hyperlink ref="N400" r:id="rId101" display="mailto:gmmanzi@aol.com" xr:uid="{00000000-0004-0000-0100-00009E000000}"/>
    <hyperlink ref="N397" r:id="rId102" xr:uid="{00000000-0004-0000-0100-00009F000000}"/>
    <hyperlink ref="N388" r:id="rId103" xr:uid="{00000000-0004-0000-0100-0000A1000000}"/>
    <hyperlink ref="N387" r:id="rId104" xr:uid="{00000000-0004-0000-0100-0000A2000000}"/>
    <hyperlink ref="N393" r:id="rId105" xr:uid="{00000000-0004-0000-0100-0000A3000000}"/>
    <hyperlink ref="N399" r:id="rId106" xr:uid="{00000000-0004-0000-0100-0000A4000000}"/>
    <hyperlink ref="N404" r:id="rId107" xr:uid="{00000000-0004-0000-0100-0000A7000000}"/>
    <hyperlink ref="N405" r:id="rId108" xr:uid="{00000000-0004-0000-0100-0000A8000000}"/>
    <hyperlink ref="N407" r:id="rId109" xr:uid="{00000000-0004-0000-0100-0000A9000000}"/>
    <hyperlink ref="N402" r:id="rId110" xr:uid="{00000000-0004-0000-0100-0000AA000000}"/>
    <hyperlink ref="N432" r:id="rId111" xr:uid="{AF0F14A9-41D7-4F4F-9053-C25B05CE63D3}"/>
    <hyperlink ref="N430" r:id="rId112" xr:uid="{A578A3F0-ED76-4F32-B03F-2AFCA7FF5810}"/>
    <hyperlink ref="N439" r:id="rId113" xr:uid="{67BA43A5-FD3A-4FEC-8219-C9E65BEBB3AC}"/>
    <hyperlink ref="N443" r:id="rId114" xr:uid="{E6416C32-EBBD-4197-871B-FA212EB6887E}"/>
    <hyperlink ref="N428" r:id="rId115" xr:uid="{2F7A46E0-4D96-4B64-9C6F-DDA0A453AE9A}"/>
    <hyperlink ref="N426" r:id="rId116" xr:uid="{5E35E068-B0DA-4332-B819-0CE6CAF2E067}"/>
    <hyperlink ref="N438" r:id="rId117" xr:uid="{657871E9-CF68-4896-B7A5-E92A7A02016C}"/>
    <hyperlink ref="N431" r:id="rId118" xr:uid="{478D785B-6F0F-414D-9CC1-7FDDDF079946}"/>
    <hyperlink ref="N440" r:id="rId119" xr:uid="{8F6F69B3-A1CC-41FE-BA6D-716F4BA9DAF9}"/>
    <hyperlink ref="N437" r:id="rId120" xr:uid="{D8260392-A0F4-4898-83B7-78922FB421DF}"/>
    <hyperlink ref="N434" r:id="rId121" xr:uid="{2EEC66B1-D357-452E-BA5C-47757359AD5E}"/>
    <hyperlink ref="N425" r:id="rId122" xr:uid="{697BF583-D4F9-4DE7-A700-9C4F3ECC2DA6}"/>
    <hyperlink ref="N424" r:id="rId123" xr:uid="{D226C2C4-FFB6-464A-A0F8-CA3FF7CB847F}"/>
    <hyperlink ref="N446" r:id="rId124" xr:uid="{1D33747D-C238-4A49-B892-65496DC1DBDC}"/>
    <hyperlink ref="N444" r:id="rId125" xr:uid="{31A949AC-CB01-4486-9FF4-5597E21C427E}"/>
    <hyperlink ref="N469" r:id="rId126" xr:uid="{ECB4E61B-DFDB-4284-BF77-3FCBF5EE8EA3}"/>
    <hyperlink ref="N473" r:id="rId127" xr:uid="{7D1F258C-2143-4866-8A4A-4F227D8AB18C}"/>
    <hyperlink ref="N435" r:id="rId128" xr:uid="{DFF99984-86E5-4CD1-BDAB-61F1989DAA32}"/>
    <hyperlink ref="N474" r:id="rId129" xr:uid="{525F01C0-A1C6-4645-A245-0466FB149901}"/>
    <hyperlink ref="N441" r:id="rId130" xr:uid="{41A4E1D4-9A8D-467B-9238-4B51D04449C6}"/>
    <hyperlink ref="N475" r:id="rId131" xr:uid="{9EB35C01-D46E-4003-97EB-1CD7A6BF6839}"/>
    <hyperlink ref="N482" r:id="rId132" xr:uid="{C5C8505D-516D-4AEB-8262-B9EC4E156BD4}"/>
    <hyperlink ref="N460" r:id="rId133" xr:uid="{DF4F3267-5197-475F-9FFC-56E1E4DA5CED}"/>
    <hyperlink ref="N463" r:id="rId134" xr:uid="{0078C1BC-B967-4C1A-B2FE-E5B2F74FFDBA}"/>
    <hyperlink ref="N478" r:id="rId135" xr:uid="{2263E3FC-164E-4FD0-8A5A-C78C5C1CFBFB}"/>
    <hyperlink ref="N480" r:id="rId136" xr:uid="{35EEF574-3F8F-4D92-B814-C493B374BBB6}"/>
    <hyperlink ref="N484" r:id="rId137" xr:uid="{3470B9B2-EC3F-463D-A2E5-6E7995305013}"/>
    <hyperlink ref="N465" r:id="rId138" xr:uid="{C5C4CCAC-2511-4923-8BBC-123978A446FC}"/>
    <hyperlink ref="N472" r:id="rId139" xr:uid="{BA397CCF-556D-43F2-9140-92329DD747B0}"/>
    <hyperlink ref="N512" r:id="rId140" xr:uid="{B1508035-E5AD-407B-AA63-13D81FE87EEA}"/>
    <hyperlink ref="N485" r:id="rId141" xr:uid="{081AF462-5684-4C12-B309-91C441E6707C}"/>
    <hyperlink ref="N467" r:id="rId142" xr:uid="{A2BCF96E-6E9E-4A71-83CF-19FCD75CF08E}"/>
    <hyperlink ref="N476" r:id="rId143" xr:uid="{BB13FA00-91E0-4420-9952-3D58E5F0A9CA}"/>
    <hyperlink ref="N466" r:id="rId144" xr:uid="{9C720D90-B7FC-416F-83F8-858034E863AC}"/>
    <hyperlink ref="N464" r:id="rId145" xr:uid="{B4820C0D-B66D-4A8E-B3AC-E7E384051D5C}"/>
    <hyperlink ref="N511" r:id="rId146" xr:uid="{D1F33FC9-E229-426B-B691-0731D196D959}"/>
    <hyperlink ref="N510" r:id="rId147" xr:uid="{8D2411F1-E69E-4635-8C4B-9AB411344C5D}"/>
    <hyperlink ref="N477" r:id="rId148" xr:uid="{00139F04-BDFC-45C5-B6C5-CD7D56F3C745}"/>
    <hyperlink ref="N559" r:id="rId149" xr:uid="{FA379410-B98D-4FDD-A578-E6B94B47284B}"/>
    <hyperlink ref="N521" r:id="rId150" xr:uid="{6B99F23A-6ED9-4F05-91FA-F26F512A534D}"/>
    <hyperlink ref="N518" r:id="rId151" xr:uid="{D2EEC576-7631-4C59-B93B-DD53C58FB248}"/>
    <hyperlink ref="N507" r:id="rId152" xr:uid="{7EFB3101-805C-4890-9896-F4BE46C7F4A6}"/>
    <hyperlink ref="N513" r:id="rId153" xr:uid="{0BA0C364-FAB8-4BFB-AC64-7E8F2E22F40D}"/>
    <hyperlink ref="N514" r:id="rId154" xr:uid="{51EBA595-F172-4518-912D-0F27FC5BC479}"/>
    <hyperlink ref="N509" r:id="rId155" xr:uid="{5180CEAA-0E11-46DA-9F1C-61E3B7B6341B}"/>
    <hyperlink ref="N516" r:id="rId156" xr:uid="{81280D8D-9265-4837-89A8-4B86F419DAB7}"/>
    <hyperlink ref="N554" r:id="rId157" xr:uid="{EF4DB943-99D5-461D-AE65-B05E22ECA9B2}"/>
    <hyperlink ref="N558" r:id="rId158" xr:uid="{57911658-B65C-4B7F-A36D-00AD1317A8CC}"/>
    <hyperlink ref="N517" r:id="rId159" xr:uid="{FDC0CFE3-9668-432B-B870-AE8048CD3502}"/>
    <hyperlink ref="N524" r:id="rId160" xr:uid="{FF7A2EEF-0CFF-4A4C-BAD4-F09E6A52DAF8}"/>
    <hyperlink ref="N520" r:id="rId161" xr:uid="{CD2E89D1-27E8-444C-83E8-B6E84D91F7DB}"/>
    <hyperlink ref="N522" r:id="rId162" xr:uid="{C150CA6A-2FE8-4173-AF6D-F722A11E5A4F}"/>
    <hyperlink ref="N570" r:id="rId163" xr:uid="{9EF98B87-553D-4B51-9CF1-E8422C8E3609}"/>
    <hyperlink ref="N555" r:id="rId164" display="mailto:ursstirnemann@bluewin.ch" xr:uid="{FB424EF1-4A90-4194-B4E8-DC7611EB063A}"/>
    <hyperlink ref="N596" r:id="rId165" xr:uid="{D67B6A27-AD50-4C27-918B-D44530F475A8}"/>
    <hyperlink ref="N526" r:id="rId166" xr:uid="{06895CB9-0980-430D-A6FC-0B77D9EAA273}"/>
    <hyperlink ref="N566" r:id="rId167" xr:uid="{2F05F7F4-82C5-4699-B4D9-76B801E22B77}"/>
    <hyperlink ref="N564" r:id="rId168" xr:uid="{F6CF5846-49AC-4D1B-B128-2F357CA8062B}"/>
    <hyperlink ref="N568" r:id="rId169" display="mailto:auftrittebert@aol.com" xr:uid="{4DD869E4-9567-4A70-82E5-FFA9A8671C74}"/>
    <hyperlink ref="N332" r:id="rId170" xr:uid="{F8E7B4BB-F9C6-47EE-8D68-17507933528C}"/>
    <hyperlink ref="N324" r:id="rId171" xr:uid="{7CC4B3E6-F7A5-452B-8433-E21DFCBFA113}"/>
    <hyperlink ref="N339" r:id="rId172" display="mailto:sandra@rudelwohl-zach.de" xr:uid="{E6B55BC8-EC58-4C4B-AA97-571D03360BC4}"/>
    <hyperlink ref="N330" r:id="rId173" xr:uid="{768AE349-4563-4E02-A2B6-679773403A8A}"/>
    <hyperlink ref="N323" r:id="rId174" xr:uid="{F1966DC6-0646-4160-9BD0-FF3D0AFACA78}"/>
    <hyperlink ref="N327" r:id="rId175" xr:uid="{387FA1F6-989F-4343-BA5F-4102DAB96BB3}"/>
    <hyperlink ref="N333" r:id="rId176" xr:uid="{78831B70-C357-4682-8503-5439A099F84C}"/>
    <hyperlink ref="N328" r:id="rId177" xr:uid="{30AC48D9-4004-4188-A538-3CC421C00D29}"/>
    <hyperlink ref="N322" r:id="rId178" xr:uid="{AEEEA980-2F36-4044-A7C4-4E4C8E878E6A}"/>
    <hyperlink ref="N338" r:id="rId179" display="mailto:gmmanzi@aol.com" xr:uid="{44619AB0-D0C8-47C9-9D20-B6B35AA9E732}"/>
    <hyperlink ref="N335" r:id="rId180" xr:uid="{B189056A-92F0-44DA-9D6B-3698CF005A51}"/>
    <hyperlink ref="N326" r:id="rId181" xr:uid="{7294E7FE-B908-439D-A203-7A56D6CEF59B}"/>
    <hyperlink ref="N325" r:id="rId182" xr:uid="{70AECA9E-1A1D-4352-932E-4198A57D3F3F}"/>
    <hyperlink ref="N331" r:id="rId183" xr:uid="{53245E8D-328D-44E2-B35A-91E36809132E}"/>
    <hyperlink ref="N337" r:id="rId184" xr:uid="{543F1131-9544-412D-82B8-DB5F7F0621A0}"/>
    <hyperlink ref="N343" r:id="rId185" xr:uid="{455B28B4-DBDF-4382-8B23-6622A5071D50}"/>
    <hyperlink ref="N345" r:id="rId186" xr:uid="{138E658F-7881-456A-81F8-A240AC8186F3}"/>
    <hyperlink ref="N340" r:id="rId187" xr:uid="{D57E6497-717A-415F-A34D-612BE17F1AC0}"/>
    <hyperlink ref="N550" r:id="rId188" xr:uid="{289F2800-99F2-4EDD-9310-D2736DE8B9BF}"/>
    <hyperlink ref="N565" r:id="rId189" xr:uid="{EA2B087A-47C0-4333-9E4B-9671A330CE7C}"/>
    <hyperlink ref="N551" r:id="rId190" xr:uid="{C94C8BB4-9233-47AD-87E2-FECC394B35A6}"/>
    <hyperlink ref="N552" r:id="rId191" xr:uid="{F3658629-88B2-4ED8-86B8-3215E87F0CB4}"/>
    <hyperlink ref="N595" r:id="rId192" xr:uid="{820D0C1B-BEF2-42B9-AB62-51F2F9700410}"/>
    <hyperlink ref="N567" r:id="rId193" xr:uid="{7CC86D59-1609-4286-A1C9-F4A32800723F}"/>
    <hyperlink ref="N556" r:id="rId194" xr:uid="{EA6ACB57-DD03-4BB7-A38E-5E03B69E44D8}"/>
    <hyperlink ref="N553" r:id="rId195" xr:uid="{FA156912-BBB0-4522-AADA-E8F1BF1F71B8}"/>
    <hyperlink ref="N601" r:id="rId196" xr:uid="{DB178494-BB8B-45BB-8FBD-4127534436EB}"/>
    <hyperlink ref="N573" r:id="rId197" xr:uid="{DB5E49B5-170E-40F9-AA84-A135106B710B}"/>
    <hyperlink ref="N557" r:id="rId198" xr:uid="{F75FB199-BA30-47DE-8CFA-1A040326828F}"/>
    <hyperlink ref="N560" r:id="rId199" xr:uid="{26A17C50-8B18-47E0-869B-332B446F8BDB}"/>
    <hyperlink ref="N561" r:id="rId200" xr:uid="{1AD966FB-B7F2-4E9C-9328-AEFDAAB3E244}"/>
    <hyperlink ref="N569" r:id="rId201" xr:uid="{5742C640-DF31-4039-AAEF-BF80677D4EBC}"/>
    <hyperlink ref="N602" r:id="rId202" xr:uid="{D886BFAF-3076-4406-BABE-74AF09747908}"/>
    <hyperlink ref="N572" r:id="rId203" xr:uid="{A9F00046-B354-49B2-9947-E9555ACFDC48}"/>
    <hyperlink ref="N608" r:id="rId204" xr:uid="{34FE4F19-AD54-4613-9131-B07E3B404519}"/>
    <hyperlink ref="N599" r:id="rId205" xr:uid="{D3F0815E-D42C-42F5-898F-8416CC6DE4CF}"/>
    <hyperlink ref="N603" r:id="rId206" xr:uid="{E59F15AA-8D4D-4D27-95EE-8A522B66E903}"/>
    <hyperlink ref="N594" r:id="rId207" xr:uid="{C0D4D658-21DE-46AE-92BA-89AC259D37F2}"/>
    <hyperlink ref="N607" r:id="rId208" display="mailto:auftrittebert@aol.com" xr:uid="{5981563A-CF26-42DD-AAB1-5169CED7B05B}"/>
    <hyperlink ref="N598" r:id="rId209" xr:uid="{688C937A-2A7C-41CF-A46E-DF206547A3D4}"/>
    <hyperlink ref="N609" r:id="rId210" xr:uid="{4A62B4BF-523C-4F59-B7F4-0750ABA34474}"/>
    <hyperlink ref="N574" r:id="rId211" xr:uid="{955BB19B-785E-4207-A4A1-CF1610C863C3}"/>
    <hyperlink ref="N604" r:id="rId212" xr:uid="{C61A383A-A0A5-42B0-86D4-29E3025D0E82}"/>
    <hyperlink ref="N606" r:id="rId213" xr:uid="{8B08B70D-1538-4764-931C-11EEBAA31645}"/>
    <hyperlink ref="N588" r:id="rId214" xr:uid="{4C3EDC5A-39F2-4961-85D2-9A7D1FFBC8F3}"/>
    <hyperlink ref="N610" r:id="rId215" xr:uid="{D2DC8ED3-AB84-4964-A388-C23F288F3D56}"/>
    <hyperlink ref="N600" r:id="rId216" xr:uid="{96043C2D-21B2-4857-8E3A-23E78B46A195}"/>
    <hyperlink ref="N592" r:id="rId217" xr:uid="{FB8897F6-A3CF-4755-9C5B-E02CE60D84AF}"/>
    <hyperlink ref="N590" r:id="rId218" xr:uid="{09F3E721-F75C-4922-BCCC-6F4805CBB6C5}"/>
    <hyperlink ref="N597" r:id="rId219" xr:uid="{8D018787-2039-44CA-A2E8-6C4A6386B4D8}"/>
    <hyperlink ref="N593" r:id="rId220" xr:uid="{8E03A5F2-904E-41DF-946A-96635983337D}"/>
    <hyperlink ref="N591" r:id="rId221" xr:uid="{F011735E-B32B-4B81-84D0-CB2A75692AF7}"/>
    <hyperlink ref="N642" r:id="rId222" xr:uid="{3F806349-4B12-4BBE-A766-952FF3429F28}"/>
    <hyperlink ref="N613" r:id="rId223" xr:uid="{1D9F0255-F66F-41A5-85C2-1541AF252C1F}"/>
    <hyperlink ref="N632" r:id="rId224" xr:uid="{9AC1292A-BC06-49FB-B79B-CE6E2444CC53}"/>
    <hyperlink ref="N634" r:id="rId225" xr:uid="{9EA328D8-FA2F-41FA-8975-3663359E38DC}"/>
    <hyperlink ref="N643" r:id="rId226" xr:uid="{C7FE2BD8-F6D9-432C-BD4C-9C9BEC784B2C}"/>
    <hyperlink ref="N633" r:id="rId227" xr:uid="{425DDB78-85FD-4BEB-B2CD-13FD0EDE1062}"/>
    <hyperlink ref="N635" r:id="rId228" xr:uid="{229B1291-D328-4C58-BAEF-C730FFC26962}"/>
    <hyperlink ref="N645" r:id="rId229" xr:uid="{07D1246D-A4A5-49C2-85D2-ECB7B646080B}"/>
    <hyperlink ref="N612" r:id="rId230" xr:uid="{5D095AA2-E997-4260-B93D-C6D333C3C59D}"/>
    <hyperlink ref="N629" r:id="rId231" xr:uid="{934DBC4A-45D1-4079-978E-F5C312BA296A}"/>
    <hyperlink ref="N646" r:id="rId232" xr:uid="{99C61BC7-6014-4BE4-B82C-12B72E758122}"/>
    <hyperlink ref="N650" r:id="rId233" xr:uid="{6AA4611B-AC08-46E8-A771-D5DB501DE687}"/>
    <hyperlink ref="N640" r:id="rId234" xr:uid="{A4F14588-C344-431C-8E12-CFD617CAEBE0}"/>
    <hyperlink ref="N641" r:id="rId235" xr:uid="{2523C3DE-665A-4005-8021-C409F332FF5B}"/>
    <hyperlink ref="N630" r:id="rId236" xr:uid="{CE902A75-EE0D-478A-99E3-FF3FA87A0C28}"/>
    <hyperlink ref="N637" r:id="rId237" xr:uid="{96026661-D577-4383-BED7-E0ECA01D0633}"/>
    <hyperlink ref="N631" r:id="rId238" xr:uid="{FBA37F9A-0351-4DD4-B973-56310B1C3CA9}"/>
    <hyperlink ref="L624" r:id="rId239" display="mailto:c.laudi@ib-laudi.de?subject=Ihre%20Anfrage%20auf%20hunde-urlaub.net" xr:uid="{C26D2C00-D1BF-48B9-AE82-126686234905}"/>
    <hyperlink ref="N639" r:id="rId240" xr:uid="{3986B7A7-4EB2-4A6E-A0DE-002F4B0F3771}"/>
    <hyperlink ref="N636" r:id="rId241" xr:uid="{E2872566-A6A2-4F9B-8EA6-7A7D1C944A94}"/>
    <hyperlink ref="N649" r:id="rId242" xr:uid="{FE815BE3-78C6-431D-B136-240C55EBB727}"/>
    <hyperlink ref="N638" r:id="rId243" xr:uid="{CE0A3D25-D7C7-41F6-9E0D-A1E2370E4EB9}"/>
    <hyperlink ref="N644" r:id="rId244" xr:uid="{3A1C47AF-D795-4ABE-A017-FB2BF4EFBE46}"/>
    <hyperlink ref="N647" r:id="rId245" xr:uid="{6F559D47-C35C-49DF-8B54-17076D68F7C7}"/>
    <hyperlink ref="N669" r:id="rId246" xr:uid="{DC2FBF4E-F813-492C-B1D0-6BCFC09F24AF}"/>
    <hyperlink ref="N670" r:id="rId247" xr:uid="{E83F3777-BAA9-4A82-B131-65B5CB717D0B}"/>
    <hyperlink ref="N671" r:id="rId248" xr:uid="{92CBB48C-3F18-4A77-A3DD-C2D621B9F12E}"/>
    <hyperlink ref="N680" r:id="rId249" xr:uid="{A6529E36-9E18-4A58-8226-1263337B0D10}"/>
    <hyperlink ref="N687" r:id="rId250" xr:uid="{F3010CCA-F5D7-4683-BEE1-F1BE4F339BF2}"/>
    <hyperlink ref="N683" r:id="rId251" xr:uid="{33DF32EB-657D-4882-8929-144976DD6CD9}"/>
    <hyperlink ref="N681" r:id="rId252" xr:uid="{562E960B-3121-4AD7-8765-806C52F4D1E9}"/>
    <hyperlink ref="N688" r:id="rId253" xr:uid="{5B3BC018-0526-4258-BE31-9496C94BD637}"/>
    <hyperlink ref="N692" r:id="rId254" xr:uid="{A3231C15-3003-44B8-A5FA-4E9D707832FB}"/>
    <hyperlink ref="N690" r:id="rId255" xr:uid="{3321BDA1-31AF-4070-AEC4-0693D45D0801}"/>
    <hyperlink ref="N679" r:id="rId256" xr:uid="{98D9A26F-3705-45EF-8508-24ABAC40548A}"/>
    <hyperlink ref="N677" r:id="rId257" xr:uid="{E2B3851C-53A2-4D90-8C1D-77146DE65AE5}"/>
    <hyperlink ref="N682" r:id="rId258" xr:uid="{4727740A-F6F4-4D5C-90CF-BCB665414C9C}"/>
    <hyperlink ref="N676" r:id="rId259" xr:uid="{60D31AE8-2969-46BA-BD4B-2EFD458EF5E6}"/>
    <hyperlink ref="N685" r:id="rId260" xr:uid="{CA9216F5-1BA1-4CF2-A1C9-8DB9AF6F1A22}"/>
    <hyperlink ref="N674" r:id="rId261" xr:uid="{2121590F-E500-4406-B2AC-1C6DE09A3F56}"/>
    <hyperlink ref="N675" r:id="rId262" xr:uid="{FC0CC9DE-BFB0-4C8B-B0F7-D0BB6E0513D8}"/>
    <hyperlink ref="N673" r:id="rId263" xr:uid="{27DEB51C-BF7D-468D-B197-314E3E221675}"/>
    <hyperlink ref="N684" r:id="rId264" xr:uid="{94523C04-6154-47C3-B25E-5830BF33D111}"/>
    <hyperlink ref="N678" r:id="rId265" xr:uid="{4FE36B8C-2CD2-4467-B1B2-9B1E3025B44E}"/>
    <hyperlink ref="N719" r:id="rId266" xr:uid="{6039F9B0-476E-4435-9B5B-7D30086A7736}"/>
    <hyperlink ref="N722" r:id="rId267" xr:uid="{17DD1CE5-BABC-47EE-8455-E0D3E87C73DE}"/>
    <hyperlink ref="N686" r:id="rId268" xr:uid="{5A3E4061-5D15-4326-81AF-64B8A44D71C0}"/>
    <hyperlink ref="N725" r:id="rId269" xr:uid="{94121381-99E2-4F03-8E79-CFA5CD844619}"/>
    <hyperlink ref="N720" r:id="rId270" xr:uid="{7FD40633-E312-4813-895A-02A99014790C}"/>
    <hyperlink ref="N727" r:id="rId271" xr:uid="{0B80783D-12FF-40C3-B0DA-62E919CC919B}"/>
    <hyperlink ref="N730" r:id="rId272" xr:uid="{C7F3C43E-12FA-4DB2-8523-41BD36E906D5}"/>
    <hyperlink ref="N694" r:id="rId273" xr:uid="{97D9D58A-021B-4961-9D19-B5A94D6730DC}"/>
    <hyperlink ref="N721" r:id="rId274" xr:uid="{49D9128C-EA91-4700-91AF-8B485353077E}"/>
    <hyperlink ref="N717" r:id="rId275" xr:uid="{C16AD446-89AF-4521-8EDF-ACA256CA17B4}"/>
    <hyperlink ref="M728" r:id="rId276" xr:uid="{C96474EB-E93E-421C-A8D4-A273BFCB8AFA}"/>
    <hyperlink ref="N728" r:id="rId277" xr:uid="{94675AFB-64D9-4297-BBDD-2ECDDE08DB27}"/>
    <hyperlink ref="N718" r:id="rId278" xr:uid="{CB4EB1F4-CF54-4DEC-B2C9-73FC0EB5B44A}"/>
    <hyperlink ref="N691" r:id="rId279" xr:uid="{0233FC95-0A57-455F-AB4C-E62FFE24B702}"/>
    <hyperlink ref="N732" r:id="rId280" xr:uid="{1742B3DC-8D72-4540-A026-21D63767B50A}"/>
    <hyperlink ref="N693" r:id="rId281" xr:uid="{ECDFA43B-0B74-4A61-88E6-EF09DB6A4BF3}"/>
    <hyperlink ref="N726" r:id="rId282" xr:uid="{A95EC42E-41BD-4C55-8BF4-40E4D62E354A}"/>
    <hyperlink ref="N737" r:id="rId283" xr:uid="{C79DC95A-481C-479E-814F-2FC1E27ED397}"/>
    <hyperlink ref="N716" r:id="rId284" xr:uid="{4944064E-0218-4D63-BDEC-5E8C512C1BE3}"/>
    <hyperlink ref="N715" r:id="rId285" xr:uid="{C20E18C5-9C46-4168-8CB7-E9DF6A415F0A}"/>
    <hyperlink ref="N761" r:id="rId286" xr:uid="{B961E743-7080-48B8-81C5-9C4AE4C329A2}"/>
    <hyperlink ref="N731" r:id="rId287" xr:uid="{37D9F3F3-3FA3-4CF0-89B4-63C967F13F52}"/>
    <hyperlink ref="N724" r:id="rId288" xr:uid="{7BEB3B53-A7C3-44FB-BEA8-7F0FFF214464}"/>
    <hyperlink ref="N733" r:id="rId289" xr:uid="{86D943E8-A6B4-418D-9F35-AEADE9DA3A40}"/>
    <hyperlink ref="N766" r:id="rId290" xr:uid="{9541A784-86B1-4AD2-B7FC-BC08B0A0D97F}"/>
    <hyperlink ref="N767" r:id="rId291" xr:uid="{E06079A1-402C-497A-94D5-9CDBB54CC187}"/>
    <hyperlink ref="N734" r:id="rId292" xr:uid="{6D26E53A-30B9-45CE-9ADD-40A32F9A68ED}"/>
    <hyperlink ref="N860" r:id="rId293" xr:uid="{7684B20D-49CE-4ABE-89C2-9A649EC693D6}"/>
    <hyperlink ref="N760" r:id="rId294" xr:uid="{7F542EF5-EA03-4BB3-BD46-6FF298988DA4}"/>
    <hyperlink ref="N771" r:id="rId295" xr:uid="{D9E80B08-F939-4C70-A8E8-D99C49CC2B00}"/>
    <hyperlink ref="N777" r:id="rId296" xr:uid="{73B5A11C-5435-4472-86CE-1B333032627E}"/>
    <hyperlink ref="N773" r:id="rId297" xr:uid="{874E50AB-B511-43B5-9C42-FCACBA7DF6B5}"/>
    <hyperlink ref="N757" r:id="rId298" xr:uid="{32109A69-CBCB-4AF5-BDAC-A63CDF9F0074}"/>
    <hyperlink ref="N778" r:id="rId299" xr:uid="{9895C9C0-D306-4EF1-86C3-2605B58FF3E4}"/>
    <hyperlink ref="N802" r:id="rId300" xr:uid="{5933F240-9AED-4390-9189-4CBCEBEDB1EE}"/>
    <hyperlink ref="N735" r:id="rId301" xr:uid="{39B900C6-6072-4517-94FE-F993BF996113}"/>
    <hyperlink ref="N736" r:id="rId302" xr:uid="{75D93D5F-B60D-4120-BC54-52D7DC285502}"/>
    <hyperlink ref="N808" r:id="rId303" xr:uid="{C4114AA2-3AB7-42E0-A3CF-7C9DC7B9CDEE}"/>
    <hyperlink ref="N762" r:id="rId304" xr:uid="{DBCC5660-7B01-4230-94BA-3CD61CC104B1}"/>
    <hyperlink ref="N770" r:id="rId305" xr:uid="{0A4FF5B5-2A99-46E4-A6CE-9D093390CEC0}"/>
    <hyperlink ref="N779" r:id="rId306" xr:uid="{0EF44509-9715-4B78-AAB1-6721309CFE40}"/>
    <hyperlink ref="N769" r:id="rId307" xr:uid="{48BD9824-2F62-4B02-A9FD-1137D35ECCC6}"/>
    <hyperlink ref="N776" r:id="rId308" xr:uid="{1A3F55E7-CE1B-4992-BB14-35D20CFC63ED}"/>
    <hyperlink ref="N755" r:id="rId309" xr:uid="{1EE79563-C552-453A-8207-F9206F7692C1}"/>
    <hyperlink ref="N166" r:id="rId310" xr:uid="{F346342B-B145-4E56-9666-A47961B7E69E}"/>
    <hyperlink ref="N763" r:id="rId311" xr:uid="{016D7026-8D70-44A2-8DF7-DABF27EE2562}"/>
    <hyperlink ref="N783" r:id="rId312" xr:uid="{58B844A4-18A3-42E1-A24B-3AE58742C386}"/>
    <hyperlink ref="N765" r:id="rId313" xr:uid="{5A193228-F544-4845-8C12-B221151D2E93}"/>
    <hyperlink ref="N764" r:id="rId314" xr:uid="{AF48BD79-5710-41B0-9C7F-F3C56167AF0F}"/>
    <hyperlink ref="N772" r:id="rId315" xr:uid="{91C8C2F3-4A86-4F80-81CD-4E347C181217}"/>
    <hyperlink ref="N774" r:id="rId316" xr:uid="{BB057F2B-D915-4CD4-8D5D-8719D4493E7E}"/>
    <hyperlink ref="N759" r:id="rId317" xr:uid="{0A710D16-997B-4237-896E-87AA2D263EFF}"/>
    <hyperlink ref="N758" r:id="rId318" xr:uid="{40E7ACB8-FDD3-49D6-8624-EB72908E1818}"/>
    <hyperlink ref="N784" r:id="rId319" xr:uid="{D41F4B86-C27B-46BB-A7F9-873B60849AE8}"/>
    <hyperlink ref="N768" r:id="rId320" xr:uid="{0DDA5200-C932-4C8C-B29B-E2DF156EFDF5}"/>
    <hyperlink ref="N811" r:id="rId321" xr:uid="{B5EB113A-D3E4-43E0-8661-F751566E3228}"/>
    <hyperlink ref="N803" r:id="rId322" xr:uid="{AB3720B3-FCB0-4C89-9064-95E4064271CA}"/>
    <hyperlink ref="N807" r:id="rId323" xr:uid="{1F7C9364-6AF4-4F46-B220-B42AB5C7F192}"/>
    <hyperlink ref="N830" r:id="rId324" xr:uid="{D8DE7AB0-7C63-4E6E-B580-78BB0DD5637E}"/>
    <hyperlink ref="N781" r:id="rId325" xr:uid="{880CA8A4-8F08-4A06-85E1-96FB61A436F7}"/>
    <hyperlink ref="N804" r:id="rId326" xr:uid="{7A485DF7-98CF-4638-84A0-67BB292FCDEE}"/>
    <hyperlink ref="N775" r:id="rId327" xr:uid="{2F04D4FB-A8CE-49A9-996C-C5416B376167}"/>
  </hyperlinks>
  <pageMargins left="0.17" right="0.18" top="0.984251969" bottom="0.984251969" header="0.4921259845" footer="0.4921259845"/>
  <pageSetup paperSize="9" scale="90" orientation="landscape" r:id="rId328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0CDFD-E8C6-40FD-8D3C-1E5096A71CFC}">
  <sheetPr filterMode="1"/>
  <dimension ref="A1:A530"/>
  <sheetViews>
    <sheetView topLeftCell="A134" workbookViewId="0">
      <selection activeCell="A156" sqref="A156:A197"/>
    </sheetView>
  </sheetViews>
  <sheetFormatPr baseColWidth="10" defaultRowHeight="13.2"/>
  <sheetData>
    <row r="1" spans="1:1">
      <c r="A1" s="69" t="s">
        <v>683</v>
      </c>
    </row>
    <row r="2" spans="1:1">
      <c r="A2" s="128" t="s">
        <v>2475</v>
      </c>
    </row>
    <row r="3" spans="1:1">
      <c r="A3" s="363" t="s">
        <v>1806</v>
      </c>
    </row>
    <row r="4" spans="1:1">
      <c r="A4" s="128" t="s">
        <v>1690</v>
      </c>
    </row>
    <row r="5" spans="1:1" hidden="1">
      <c r="A5" s="128" t="s">
        <v>1690</v>
      </c>
    </row>
    <row r="6" spans="1:1">
      <c r="A6" s="63" t="s">
        <v>760</v>
      </c>
    </row>
    <row r="7" spans="1:1">
      <c r="A7" s="874" t="s">
        <v>2423</v>
      </c>
    </row>
    <row r="8" spans="1:1">
      <c r="A8" s="128" t="s">
        <v>2601</v>
      </c>
    </row>
    <row r="9" spans="1:1">
      <c r="A9" s="128" t="s">
        <v>1878</v>
      </c>
    </row>
    <row r="10" spans="1:1">
      <c r="A10" s="50" t="s">
        <v>1203</v>
      </c>
    </row>
    <row r="11" spans="1:1">
      <c r="A11" s="50" t="s">
        <v>546</v>
      </c>
    </row>
    <row r="12" spans="1:1">
      <c r="A12" s="50" t="s">
        <v>1381</v>
      </c>
    </row>
    <row r="13" spans="1:1">
      <c r="A13" s="835" t="s">
        <v>1743</v>
      </c>
    </row>
    <row r="14" spans="1:1" hidden="1">
      <c r="A14" s="835" t="s">
        <v>1743</v>
      </c>
    </row>
    <row r="15" spans="1:1">
      <c r="A15" s="128" t="s">
        <v>2571</v>
      </c>
    </row>
    <row r="16" spans="1:1">
      <c r="A16" s="50" t="s">
        <v>1290</v>
      </c>
    </row>
    <row r="17" spans="1:1">
      <c r="A17" s="897" t="s">
        <v>1916</v>
      </c>
    </row>
    <row r="18" spans="1:1">
      <c r="A18" s="50" t="s">
        <v>502</v>
      </c>
    </row>
    <row r="19" spans="1:1">
      <c r="A19" s="365" t="s">
        <v>1898</v>
      </c>
    </row>
    <row r="20" spans="1:1">
      <c r="A20" s="51" t="s">
        <v>409</v>
      </c>
    </row>
    <row r="21" spans="1:1">
      <c r="A21" s="992" t="s">
        <v>492</v>
      </c>
    </row>
    <row r="22" spans="1:1" hidden="1">
      <c r="A22" s="50" t="s">
        <v>492</v>
      </c>
    </row>
    <row r="23" spans="1:1" hidden="1">
      <c r="A23" s="365" t="s">
        <v>492</v>
      </c>
    </row>
    <row r="24" spans="1:1" hidden="1">
      <c r="A24" s="365" t="s">
        <v>492</v>
      </c>
    </row>
    <row r="25" spans="1:1" hidden="1">
      <c r="A25" s="365" t="s">
        <v>492</v>
      </c>
    </row>
    <row r="26" spans="1:1">
      <c r="A26" s="51" t="s">
        <v>598</v>
      </c>
    </row>
    <row r="27" spans="1:1">
      <c r="A27" s="63" t="s">
        <v>711</v>
      </c>
    </row>
    <row r="28" spans="1:1" ht="13.8" thickBot="1">
      <c r="A28" s="112" t="s">
        <v>1168</v>
      </c>
    </row>
    <row r="29" spans="1:1">
      <c r="A29" s="50" t="s">
        <v>1431</v>
      </c>
    </row>
    <row r="30" spans="1:1">
      <c r="A30" s="128" t="s">
        <v>1684</v>
      </c>
    </row>
    <row r="31" spans="1:1" hidden="1">
      <c r="A31" s="993" t="s">
        <v>1684</v>
      </c>
    </row>
    <row r="32" spans="1:1">
      <c r="A32" s="50" t="s">
        <v>1179</v>
      </c>
    </row>
    <row r="33" spans="1:1">
      <c r="A33" s="128" t="s">
        <v>1831</v>
      </c>
    </row>
    <row r="34" spans="1:1">
      <c r="A34" s="50" t="s">
        <v>565</v>
      </c>
    </row>
    <row r="35" spans="1:1">
      <c r="A35" s="50" t="s">
        <v>1369</v>
      </c>
    </row>
    <row r="36" spans="1:1">
      <c r="A36" s="128" t="s">
        <v>2004</v>
      </c>
    </row>
    <row r="37" spans="1:1">
      <c r="A37" s="50" t="s">
        <v>990</v>
      </c>
    </row>
    <row r="38" spans="1:1">
      <c r="A38" s="50" t="s">
        <v>1292</v>
      </c>
    </row>
    <row r="39" spans="1:1">
      <c r="A39" s="50" t="s">
        <v>731</v>
      </c>
    </row>
    <row r="40" spans="1:1">
      <c r="A40" s="50" t="s">
        <v>1050</v>
      </c>
    </row>
    <row r="41" spans="1:1">
      <c r="A41" s="50" t="s">
        <v>554</v>
      </c>
    </row>
    <row r="42" spans="1:1">
      <c r="A42" s="50" t="s">
        <v>434</v>
      </c>
    </row>
    <row r="43" spans="1:1">
      <c r="A43" s="128" t="s">
        <v>1943</v>
      </c>
    </row>
    <row r="44" spans="1:1">
      <c r="A44" s="866" t="s">
        <v>2198</v>
      </c>
    </row>
    <row r="45" spans="1:1">
      <c r="A45" s="365" t="s">
        <v>2228</v>
      </c>
    </row>
    <row r="46" spans="1:1">
      <c r="A46" s="69" t="s">
        <v>1004</v>
      </c>
    </row>
    <row r="47" spans="1:1">
      <c r="A47" s="50" t="s">
        <v>852</v>
      </c>
    </row>
    <row r="48" spans="1:1">
      <c r="A48" s="51" t="s">
        <v>402</v>
      </c>
    </row>
    <row r="49" spans="1:1">
      <c r="A49" s="50" t="s">
        <v>1068</v>
      </c>
    </row>
    <row r="50" spans="1:1" hidden="1">
      <c r="A50" s="50" t="s">
        <v>1068</v>
      </c>
    </row>
    <row r="51" spans="1:1" hidden="1">
      <c r="A51" s="50" t="s">
        <v>1068</v>
      </c>
    </row>
    <row r="52" spans="1:1" hidden="1">
      <c r="A52" s="363" t="s">
        <v>1068</v>
      </c>
    </row>
    <row r="53" spans="1:1" hidden="1">
      <c r="A53" s="363" t="s">
        <v>1068</v>
      </c>
    </row>
    <row r="54" spans="1:1" hidden="1">
      <c r="A54" s="362" t="s">
        <v>1068</v>
      </c>
    </row>
    <row r="55" spans="1:1" ht="13.8" hidden="1" thickBot="1">
      <c r="A55" s="994" t="s">
        <v>1068</v>
      </c>
    </row>
    <row r="56" spans="1:1">
      <c r="A56" s="121" t="s">
        <v>2757</v>
      </c>
    </row>
    <row r="57" spans="1:1" ht="13.8" thickBot="1">
      <c r="A57" s="50" t="s">
        <v>1342</v>
      </c>
    </row>
    <row r="58" spans="1:1">
      <c r="A58" s="54" t="s">
        <v>1112</v>
      </c>
    </row>
    <row r="59" spans="1:1">
      <c r="A59" s="50" t="s">
        <v>928</v>
      </c>
    </row>
    <row r="60" spans="1:1">
      <c r="A60" s="50" t="s">
        <v>727</v>
      </c>
    </row>
    <row r="61" spans="1:1">
      <c r="A61" s="69" t="s">
        <v>800</v>
      </c>
    </row>
    <row r="62" spans="1:1">
      <c r="A62" s="50" t="s">
        <v>930</v>
      </c>
    </row>
    <row r="63" spans="1:1">
      <c r="A63" s="50" t="s">
        <v>1419</v>
      </c>
    </row>
    <row r="64" spans="1:1">
      <c r="A64" s="50" t="s">
        <v>1099</v>
      </c>
    </row>
    <row r="65" spans="1:1">
      <c r="A65" s="128" t="s">
        <v>1735</v>
      </c>
    </row>
    <row r="66" spans="1:1" hidden="1">
      <c r="A66" s="128" t="s">
        <v>1735</v>
      </c>
    </row>
    <row r="67" spans="1:1">
      <c r="A67" s="128" t="s">
        <v>1865</v>
      </c>
    </row>
    <row r="68" spans="1:1">
      <c r="A68" s="50" t="s">
        <v>825</v>
      </c>
    </row>
    <row r="69" spans="1:1">
      <c r="A69" s="128" t="s">
        <v>1577</v>
      </c>
    </row>
    <row r="70" spans="1:1" hidden="1">
      <c r="A70" s="128" t="s">
        <v>1577</v>
      </c>
    </row>
    <row r="71" spans="1:1">
      <c r="A71" s="128" t="s">
        <v>1676</v>
      </c>
    </row>
    <row r="72" spans="1:1" hidden="1">
      <c r="A72" s="128" t="s">
        <v>1676</v>
      </c>
    </row>
    <row r="73" spans="1:1" ht="13.8" thickBot="1">
      <c r="A73" s="995" t="s">
        <v>1785</v>
      </c>
    </row>
    <row r="74" spans="1:1" hidden="1">
      <c r="A74" s="128" t="s">
        <v>1785</v>
      </c>
    </row>
    <row r="75" spans="1:1">
      <c r="A75" s="50" t="s">
        <v>482</v>
      </c>
    </row>
    <row r="76" spans="1:1">
      <c r="A76" s="63" t="s">
        <v>704</v>
      </c>
    </row>
    <row r="77" spans="1:1">
      <c r="A77" s="128" t="s">
        <v>2221</v>
      </c>
    </row>
    <row r="78" spans="1:1">
      <c r="A78" s="365" t="s">
        <v>2361</v>
      </c>
    </row>
    <row r="79" spans="1:1">
      <c r="A79" s="63" t="s">
        <v>754</v>
      </c>
    </row>
    <row r="80" spans="1:1">
      <c r="A80" s="874" t="s">
        <v>2310</v>
      </c>
    </row>
    <row r="81" spans="1:1">
      <c r="A81" s="860" t="s">
        <v>1701</v>
      </c>
    </row>
    <row r="82" spans="1:1" hidden="1">
      <c r="A82" s="860" t="s">
        <v>1701</v>
      </c>
    </row>
    <row r="83" spans="1:1">
      <c r="A83" s="50" t="s">
        <v>1042</v>
      </c>
    </row>
    <row r="84" spans="1:1">
      <c r="A84" s="50" t="s">
        <v>786</v>
      </c>
    </row>
    <row r="85" spans="1:1">
      <c r="A85" s="875" t="s">
        <v>2293</v>
      </c>
    </row>
    <row r="86" spans="1:1">
      <c r="A86" s="69" t="s">
        <v>1034</v>
      </c>
    </row>
    <row r="87" spans="1:1">
      <c r="A87" s="50" t="s">
        <v>615</v>
      </c>
    </row>
    <row r="88" spans="1:1">
      <c r="A88" s="50" t="s">
        <v>1409</v>
      </c>
    </row>
    <row r="89" spans="1:1">
      <c r="A89" s="55" t="s">
        <v>495</v>
      </c>
    </row>
    <row r="90" spans="1:1">
      <c r="A90" s="823" t="s">
        <v>1488</v>
      </c>
    </row>
    <row r="91" spans="1:1">
      <c r="A91" s="50" t="s">
        <v>572</v>
      </c>
    </row>
    <row r="92" spans="1:1">
      <c r="A92" s="50" t="s">
        <v>1096</v>
      </c>
    </row>
    <row r="93" spans="1:1">
      <c r="A93" s="128" t="s">
        <v>2432</v>
      </c>
    </row>
    <row r="94" spans="1:1">
      <c r="A94" s="50" t="s">
        <v>1020</v>
      </c>
    </row>
    <row r="95" spans="1:1" hidden="1">
      <c r="A95" s="128" t="s">
        <v>1020</v>
      </c>
    </row>
    <row r="96" spans="1:1">
      <c r="A96" s="128" t="s">
        <v>2708</v>
      </c>
    </row>
    <row r="97" spans="1:1">
      <c r="A97" s="128" t="s">
        <v>2452</v>
      </c>
    </row>
    <row r="98" spans="1:1">
      <c r="A98" s="50" t="s">
        <v>469</v>
      </c>
    </row>
    <row r="99" spans="1:1">
      <c r="A99" s="50" t="s">
        <v>593</v>
      </c>
    </row>
    <row r="100" spans="1:1">
      <c r="A100" s="850" t="s">
        <v>2414</v>
      </c>
    </row>
    <row r="101" spans="1:1">
      <c r="A101" s="50" t="s">
        <v>366</v>
      </c>
    </row>
    <row r="102" spans="1:1">
      <c r="A102" s="365" t="s">
        <v>2238</v>
      </c>
    </row>
    <row r="103" spans="1:1">
      <c r="A103" s="50" t="s">
        <v>1440</v>
      </c>
    </row>
    <row r="104" spans="1:1">
      <c r="A104" s="50" t="s">
        <v>657</v>
      </c>
    </row>
    <row r="105" spans="1:1">
      <c r="A105" s="128" t="s">
        <v>1798</v>
      </c>
    </row>
    <row r="106" spans="1:1">
      <c r="A106" s="903" t="s">
        <v>2442</v>
      </c>
    </row>
    <row r="107" spans="1:1">
      <c r="A107" s="50" t="s">
        <v>607</v>
      </c>
    </row>
    <row r="108" spans="1:1">
      <c r="A108" s="128" t="s">
        <v>1649</v>
      </c>
    </row>
    <row r="109" spans="1:1" hidden="1">
      <c r="A109" s="128" t="s">
        <v>1649</v>
      </c>
    </row>
    <row r="110" spans="1:1">
      <c r="A110" s="365" t="s">
        <v>2331</v>
      </c>
    </row>
    <row r="111" spans="1:1">
      <c r="A111" s="50" t="s">
        <v>887</v>
      </c>
    </row>
    <row r="112" spans="1:1">
      <c r="A112" s="128" t="s">
        <v>1712</v>
      </c>
    </row>
    <row r="113" spans="1:1" hidden="1">
      <c r="A113" s="128" t="s">
        <v>1712</v>
      </c>
    </row>
    <row r="114" spans="1:1">
      <c r="A114" s="50" t="s">
        <v>958</v>
      </c>
    </row>
    <row r="115" spans="1:1">
      <c r="A115" s="50" t="s">
        <v>174</v>
      </c>
    </row>
    <row r="116" spans="1:1">
      <c r="A116" s="50" t="s">
        <v>1320</v>
      </c>
    </row>
    <row r="117" spans="1:1">
      <c r="A117" s="128" t="s">
        <v>1761</v>
      </c>
    </row>
    <row r="118" spans="1:1" hidden="1">
      <c r="A118" s="128" t="s">
        <v>1761</v>
      </c>
    </row>
    <row r="119" spans="1:1">
      <c r="A119" s="50" t="s">
        <v>1264</v>
      </c>
    </row>
    <row r="120" spans="1:1">
      <c r="A120" s="365" t="s">
        <v>1906</v>
      </c>
    </row>
    <row r="121" spans="1:1">
      <c r="A121" s="50" t="s">
        <v>967</v>
      </c>
    </row>
    <row r="122" spans="1:1">
      <c r="A122" s="50" t="s">
        <v>1215</v>
      </c>
    </row>
    <row r="123" spans="1:1">
      <c r="A123" s="128" t="s">
        <v>2425</v>
      </c>
    </row>
    <row r="124" spans="1:1">
      <c r="A124" s="128" t="s">
        <v>1995</v>
      </c>
    </row>
    <row r="125" spans="1:1">
      <c r="A125" s="50" t="s">
        <v>609</v>
      </c>
    </row>
    <row r="126" spans="1:1">
      <c r="A126" s="50" t="s">
        <v>815</v>
      </c>
    </row>
    <row r="127" spans="1:1">
      <c r="A127" s="365" t="s">
        <v>1967</v>
      </c>
    </row>
    <row r="128" spans="1:1">
      <c r="A128" s="50" t="s">
        <v>448</v>
      </c>
    </row>
    <row r="129" spans="1:1">
      <c r="A129" s="50" t="s">
        <v>866</v>
      </c>
    </row>
    <row r="130" spans="1:1">
      <c r="A130" s="50" t="s">
        <v>1680</v>
      </c>
    </row>
    <row r="131" spans="1:1">
      <c r="A131" s="50" t="s">
        <v>1389</v>
      </c>
    </row>
    <row r="132" spans="1:1">
      <c r="A132" s="51" t="s">
        <v>625</v>
      </c>
    </row>
    <row r="133" spans="1:1">
      <c r="A133" s="863" t="s">
        <v>1840</v>
      </c>
    </row>
    <row r="134" spans="1:1">
      <c r="A134" s="50" t="s">
        <v>536</v>
      </c>
    </row>
    <row r="135" spans="1:1">
      <c r="A135" s="69" t="s">
        <v>1881</v>
      </c>
    </row>
    <row r="136" spans="1:1">
      <c r="A136" s="50" t="s">
        <v>514</v>
      </c>
    </row>
    <row r="137" spans="1:1">
      <c r="A137" s="850" t="s">
        <v>1930</v>
      </c>
    </row>
    <row r="138" spans="1:1">
      <c r="A138" s="50" t="s">
        <v>525</v>
      </c>
    </row>
    <row r="139" spans="1:1">
      <c r="A139" s="128" t="s">
        <v>1719</v>
      </c>
    </row>
    <row r="140" spans="1:1" hidden="1">
      <c r="A140" s="128" t="s">
        <v>1719</v>
      </c>
    </row>
    <row r="141" spans="1:1">
      <c r="A141" s="866" t="s">
        <v>1981</v>
      </c>
    </row>
    <row r="142" spans="1:1">
      <c r="A142" s="50" t="s">
        <v>784</v>
      </c>
    </row>
    <row r="143" spans="1:1">
      <c r="A143" s="128" t="s">
        <v>1727</v>
      </c>
    </row>
    <row r="144" spans="1:1" hidden="1">
      <c r="A144" s="128" t="s">
        <v>1727</v>
      </c>
    </row>
    <row r="145" spans="1:1">
      <c r="A145" s="63" t="s">
        <v>743</v>
      </c>
    </row>
    <row r="146" spans="1:1">
      <c r="A146" s="50" t="s">
        <v>638</v>
      </c>
    </row>
    <row r="147" spans="1:1">
      <c r="A147" s="50" t="s">
        <v>1311</v>
      </c>
    </row>
    <row r="148" spans="1:1">
      <c r="A148" s="128" t="s">
        <v>1848</v>
      </c>
    </row>
    <row r="149" spans="1:1">
      <c r="A149" s="50" t="s">
        <v>859</v>
      </c>
    </row>
    <row r="150" spans="1:1">
      <c r="A150" s="50" t="s">
        <v>437</v>
      </c>
    </row>
    <row r="151" spans="1:1">
      <c r="A151" s="128" t="s">
        <v>2284</v>
      </c>
    </row>
    <row r="152" spans="1:1">
      <c r="A152" s="50" t="s">
        <v>776</v>
      </c>
    </row>
    <row r="153" spans="1:1" hidden="1">
      <c r="A153" s="108" t="s">
        <v>776</v>
      </c>
    </row>
    <row r="154" spans="1:1">
      <c r="A154" s="51" t="s">
        <v>1344</v>
      </c>
    </row>
    <row r="155" spans="1:1" hidden="1">
      <c r="A155" s="51" t="s">
        <v>1344</v>
      </c>
    </row>
    <row r="156" spans="1:1">
      <c r="A156" s="128" t="s">
        <v>1777</v>
      </c>
    </row>
    <row r="157" spans="1:1">
      <c r="A157" s="50" t="s">
        <v>1153</v>
      </c>
    </row>
    <row r="158" spans="1:1">
      <c r="A158" s="50" t="s">
        <v>1394</v>
      </c>
    </row>
    <row r="159" spans="1:1" hidden="1">
      <c r="A159" s="365" t="s">
        <v>1394</v>
      </c>
    </row>
    <row r="160" spans="1:1">
      <c r="A160" s="50" t="s">
        <v>1336</v>
      </c>
    </row>
    <row r="161" spans="1:1">
      <c r="A161" s="365" t="s">
        <v>2277</v>
      </c>
    </row>
    <row r="162" spans="1:1">
      <c r="A162" s="50" t="s">
        <v>1360</v>
      </c>
    </row>
    <row r="163" spans="1:1">
      <c r="A163" s="50" t="s">
        <v>485</v>
      </c>
    </row>
    <row r="164" spans="1:1" hidden="1">
      <c r="A164" s="50" t="s">
        <v>485</v>
      </c>
    </row>
    <row r="165" spans="1:1" hidden="1">
      <c r="A165" s="50" t="s">
        <v>485</v>
      </c>
    </row>
    <row r="166" spans="1:1">
      <c r="A166" s="992" t="s">
        <v>673</v>
      </c>
    </row>
    <row r="167" spans="1:1">
      <c r="A167" s="128" t="s">
        <v>2625</v>
      </c>
    </row>
    <row r="168" spans="1:1">
      <c r="A168" s="63" t="s">
        <v>690</v>
      </c>
    </row>
    <row r="169" spans="1:1">
      <c r="A169" s="50" t="s">
        <v>1339</v>
      </c>
    </row>
    <row r="170" spans="1:1">
      <c r="A170" s="128" t="s">
        <v>2516</v>
      </c>
    </row>
    <row r="171" spans="1:1">
      <c r="A171" s="128" t="s">
        <v>1758</v>
      </c>
    </row>
    <row r="172" spans="1:1" hidden="1">
      <c r="A172" s="128" t="s">
        <v>1758</v>
      </c>
    </row>
    <row r="173" spans="1:1">
      <c r="A173" s="51" t="s">
        <v>376</v>
      </c>
    </row>
    <row r="174" spans="1:1">
      <c r="A174" s="50" t="s">
        <v>352</v>
      </c>
    </row>
    <row r="175" spans="1:1" hidden="1">
      <c r="A175" s="63" t="s">
        <v>352</v>
      </c>
    </row>
    <row r="176" spans="1:1" hidden="1">
      <c r="A176" s="128" t="s">
        <v>352</v>
      </c>
    </row>
    <row r="177" spans="1:1" hidden="1">
      <c r="A177" s="128" t="s">
        <v>352</v>
      </c>
    </row>
    <row r="178" spans="1:1">
      <c r="A178" s="50" t="s">
        <v>1250</v>
      </c>
    </row>
    <row r="179" spans="1:1">
      <c r="A179" s="51" t="s">
        <v>623</v>
      </c>
    </row>
    <row r="180" spans="1:1">
      <c r="A180" s="365" t="s">
        <v>1562</v>
      </c>
    </row>
    <row r="181" spans="1:1">
      <c r="A181" s="365" t="s">
        <v>1890</v>
      </c>
    </row>
    <row r="182" spans="1:1">
      <c r="A182" s="50" t="s">
        <v>764</v>
      </c>
    </row>
    <row r="183" spans="1:1">
      <c r="A183" s="128" t="s">
        <v>1652</v>
      </c>
    </row>
    <row r="184" spans="1:1" hidden="1">
      <c r="A184" s="128" t="s">
        <v>1652</v>
      </c>
    </row>
    <row r="185" spans="1:1" hidden="1">
      <c r="A185" s="365" t="s">
        <v>1652</v>
      </c>
    </row>
    <row r="186" spans="1:1">
      <c r="A186" s="50" t="s">
        <v>1274</v>
      </c>
    </row>
    <row r="187" spans="1:1">
      <c r="A187" s="861" t="s">
        <v>1566</v>
      </c>
    </row>
    <row r="188" spans="1:1" hidden="1">
      <c r="A188" s="861" t="s">
        <v>1566</v>
      </c>
    </row>
    <row r="189" spans="1:1">
      <c r="A189" s="868" t="s">
        <v>2183</v>
      </c>
    </row>
    <row r="190" spans="1:1">
      <c r="A190" s="50" t="s">
        <v>871</v>
      </c>
    </row>
    <row r="191" spans="1:1">
      <c r="A191" s="50" t="s">
        <v>382</v>
      </c>
    </row>
    <row r="192" spans="1:1">
      <c r="A192" s="128" t="s">
        <v>2022</v>
      </c>
    </row>
    <row r="193" spans="1:1">
      <c r="A193" s="50" t="s">
        <v>1256</v>
      </c>
    </row>
    <row r="194" spans="1:1">
      <c r="A194" s="121" t="s">
        <v>2703</v>
      </c>
    </row>
    <row r="195" spans="1:1">
      <c r="A195" s="50" t="s">
        <v>1191</v>
      </c>
    </row>
    <row r="196" spans="1:1">
      <c r="A196" s="50" t="s">
        <v>1110</v>
      </c>
    </row>
    <row r="197" spans="1:1">
      <c r="A197" s="128" t="s">
        <v>1751</v>
      </c>
    </row>
    <row r="198" spans="1:1" hidden="1">
      <c r="A198" s="128" t="s">
        <v>1751</v>
      </c>
    </row>
    <row r="199" spans="1:1">
      <c r="A199" s="50" t="s">
        <v>620</v>
      </c>
    </row>
    <row r="200" spans="1:1">
      <c r="A200" s="365" t="s">
        <v>1872</v>
      </c>
    </row>
    <row r="201" spans="1:1">
      <c r="A201" s="50" t="s">
        <v>1234</v>
      </c>
    </row>
    <row r="202" spans="1:1">
      <c r="A202" s="128" t="s">
        <v>1974</v>
      </c>
    </row>
    <row r="203" spans="1:1">
      <c r="A203" s="874" t="s">
        <v>2249</v>
      </c>
    </row>
    <row r="204" spans="1:1">
      <c r="A204" s="50" t="s">
        <v>1243</v>
      </c>
    </row>
    <row r="205" spans="1:1">
      <c r="A205" s="128" t="s">
        <v>2259</v>
      </c>
    </row>
    <row r="206" spans="1:1">
      <c r="A206" s="121" t="s">
        <v>2665</v>
      </c>
    </row>
    <row r="207" spans="1:1">
      <c r="A207" s="861" t="s">
        <v>2595</v>
      </c>
    </row>
    <row r="208" spans="1:1">
      <c r="A208" s="50" t="s">
        <v>881</v>
      </c>
    </row>
    <row r="209" spans="1:1">
      <c r="A209" s="50" t="s">
        <v>1010</v>
      </c>
    </row>
    <row r="210" spans="1:1">
      <c r="A210" s="128" t="s">
        <v>1791</v>
      </c>
    </row>
    <row r="211" spans="1:1" hidden="1">
      <c r="A211" s="128" t="s">
        <v>1791</v>
      </c>
    </row>
    <row r="212" spans="1:1" hidden="1">
      <c r="A212" s="365" t="s">
        <v>1791</v>
      </c>
    </row>
    <row r="213" spans="1:1" hidden="1">
      <c r="A213" s="365" t="s">
        <v>1791</v>
      </c>
    </row>
    <row r="214" spans="1:1">
      <c r="A214" s="51" t="s">
        <v>1448</v>
      </c>
    </row>
    <row r="215" spans="1:1">
      <c r="A215" s="433" t="s">
        <v>2633</v>
      </c>
    </row>
    <row r="216" spans="1:1">
      <c r="A216" s="50" t="s">
        <v>940</v>
      </c>
    </row>
    <row r="217" spans="1:1">
      <c r="A217" s="128" t="s">
        <v>1857</v>
      </c>
    </row>
    <row r="218" spans="1:1">
      <c r="A218" s="50" t="s">
        <v>472</v>
      </c>
    </row>
    <row r="219" spans="1:1">
      <c r="A219" s="51" t="s">
        <v>401</v>
      </c>
    </row>
    <row r="220" spans="1:1">
      <c r="A220" s="50" t="s">
        <v>532</v>
      </c>
    </row>
    <row r="221" spans="1:1">
      <c r="A221" s="50" t="s">
        <v>1459</v>
      </c>
    </row>
    <row r="222" spans="1:1">
      <c r="A222" s="50" t="s">
        <v>721</v>
      </c>
    </row>
    <row r="223" spans="1:1">
      <c r="A223" s="128" t="s">
        <v>2270</v>
      </c>
    </row>
    <row r="224" spans="1:1">
      <c r="A224" s="365" t="s">
        <v>2013</v>
      </c>
    </row>
    <row r="225" spans="1:1">
      <c r="A225" s="7"/>
    </row>
    <row r="226" spans="1:1" hidden="1">
      <c r="A226" s="7"/>
    </row>
    <row r="227" spans="1:1" hidden="1">
      <c r="A227" s="7"/>
    </row>
    <row r="228" spans="1:1" hidden="1">
      <c r="A228" s="50"/>
    </row>
    <row r="229" spans="1:1" hidden="1">
      <c r="A229" s="51"/>
    </row>
    <row r="230" spans="1:1" hidden="1">
      <c r="A230" s="51"/>
    </row>
    <row r="231" spans="1:1" hidden="1">
      <c r="A231" s="51"/>
    </row>
    <row r="232" spans="1:1" hidden="1">
      <c r="A232" s="50"/>
    </row>
    <row r="233" spans="1:1" hidden="1">
      <c r="A233" s="50"/>
    </row>
    <row r="234" spans="1:1" hidden="1">
      <c r="A234" s="49"/>
    </row>
    <row r="235" spans="1:1" hidden="1">
      <c r="A235" s="49"/>
    </row>
    <row r="236" spans="1:1" hidden="1">
      <c r="A236" s="8"/>
    </row>
    <row r="237" spans="1:1" hidden="1">
      <c r="A237" s="8"/>
    </row>
    <row r="238" spans="1:1" hidden="1">
      <c r="A238" s="7"/>
    </row>
    <row r="239" spans="1:1" hidden="1">
      <c r="A239" s="7"/>
    </row>
    <row r="240" spans="1:1" hidden="1">
      <c r="A240" s="7"/>
    </row>
    <row r="241" spans="1:1" hidden="1">
      <c r="A241" s="7"/>
    </row>
    <row r="242" spans="1:1" hidden="1">
      <c r="A242" s="7"/>
    </row>
    <row r="243" spans="1:1" hidden="1">
      <c r="A243" s="7"/>
    </row>
    <row r="244" spans="1:1" hidden="1">
      <c r="A244" s="7"/>
    </row>
    <row r="245" spans="1:1" hidden="1">
      <c r="A245" s="7"/>
    </row>
    <row r="246" spans="1:1" hidden="1">
      <c r="A246" s="50"/>
    </row>
    <row r="247" spans="1:1" ht="13.8" hidden="1" thickBot="1">
      <c r="A247" s="996"/>
    </row>
    <row r="248" spans="1:1" hidden="1">
      <c r="A248" s="49"/>
    </row>
    <row r="249" spans="1:1" hidden="1">
      <c r="A249" s="8"/>
    </row>
    <row r="250" spans="1:1" hidden="1">
      <c r="A250" s="8"/>
    </row>
    <row r="251" spans="1:1" hidden="1">
      <c r="A251" s="773"/>
    </row>
    <row r="252" spans="1:1" hidden="1">
      <c r="A252" s="7"/>
    </row>
    <row r="253" spans="1:1" hidden="1">
      <c r="A253" s="7"/>
    </row>
    <row r="254" spans="1:1" hidden="1">
      <c r="A254" s="7"/>
    </row>
    <row r="255" spans="1:1" hidden="1">
      <c r="A255" s="49"/>
    </row>
    <row r="256" spans="1:1" hidden="1">
      <c r="A256" s="8"/>
    </row>
    <row r="257" spans="1:1" hidden="1">
      <c r="A257" s="8"/>
    </row>
    <row r="258" spans="1:1" hidden="1">
      <c r="A258" s="51"/>
    </row>
    <row r="259" spans="1:1" hidden="1">
      <c r="A259" s="51"/>
    </row>
    <row r="260" spans="1:1" hidden="1">
      <c r="A260" s="50"/>
    </row>
    <row r="261" spans="1:1" hidden="1">
      <c r="A261" s="49"/>
    </row>
    <row r="262" spans="1:1" hidden="1">
      <c r="A262" s="49"/>
    </row>
    <row r="263" spans="1:1" hidden="1">
      <c r="A263" s="49"/>
    </row>
    <row r="264" spans="1:1" hidden="1">
      <c r="A264" s="8"/>
    </row>
    <row r="265" spans="1:1" hidden="1">
      <c r="A265" s="8"/>
    </row>
    <row r="266" spans="1:1" hidden="1">
      <c r="A266" s="773"/>
    </row>
    <row r="267" spans="1:1" hidden="1">
      <c r="A267" s="7"/>
    </row>
    <row r="268" spans="1:1" hidden="1">
      <c r="A268" s="7"/>
    </row>
    <row r="269" spans="1:1" hidden="1">
      <c r="A269" s="7"/>
    </row>
    <row r="270" spans="1:1" hidden="1">
      <c r="A270" s="7"/>
    </row>
    <row r="271" spans="1:1" hidden="1">
      <c r="A271" s="7"/>
    </row>
    <row r="272" spans="1:1" hidden="1">
      <c r="A272" s="7"/>
    </row>
    <row r="273" spans="1:1" hidden="1">
      <c r="A273" s="7"/>
    </row>
    <row r="274" spans="1:1" hidden="1">
      <c r="A274" s="7"/>
    </row>
    <row r="275" spans="1:1" hidden="1">
      <c r="A275" s="63"/>
    </row>
    <row r="276" spans="1:1" hidden="1">
      <c r="A276" s="63"/>
    </row>
    <row r="277" spans="1:1" hidden="1">
      <c r="A277" s="107"/>
    </row>
    <row r="278" spans="1:1" hidden="1">
      <c r="A278" s="63"/>
    </row>
    <row r="279" spans="1:1" hidden="1">
      <c r="A279" s="7"/>
    </row>
    <row r="280" spans="1:1" hidden="1">
      <c r="A280" s="7"/>
    </row>
    <row r="281" spans="1:1" hidden="1">
      <c r="A281" s="7"/>
    </row>
    <row r="282" spans="1:1" hidden="1">
      <c r="A282" s="7"/>
    </row>
    <row r="283" spans="1:1" hidden="1">
      <c r="A283" s="7"/>
    </row>
    <row r="284" spans="1:1" hidden="1">
      <c r="A284" s="7"/>
    </row>
    <row r="285" spans="1:1" hidden="1">
      <c r="A285" s="7"/>
    </row>
    <row r="286" spans="1:1" hidden="1">
      <c r="A286" s="7"/>
    </row>
    <row r="287" spans="1:1" hidden="1">
      <c r="A287" s="7"/>
    </row>
    <row r="288" spans="1:1" hidden="1">
      <c r="A288" s="7"/>
    </row>
    <row r="289" spans="1:1" hidden="1">
      <c r="A289" s="7"/>
    </row>
    <row r="290" spans="1:1" hidden="1">
      <c r="A290" s="7"/>
    </row>
    <row r="291" spans="1:1" hidden="1">
      <c r="A291" s="50"/>
    </row>
    <row r="292" spans="1:1" hidden="1">
      <c r="A292" s="773"/>
    </row>
    <row r="293" spans="1:1" hidden="1">
      <c r="A293" s="7"/>
    </row>
    <row r="294" spans="1:1" hidden="1">
      <c r="A294" s="7"/>
    </row>
    <row r="295" spans="1:1" hidden="1">
      <c r="A295" s="7"/>
    </row>
    <row r="296" spans="1:1" hidden="1">
      <c r="A296" s="7"/>
    </row>
    <row r="297" spans="1:1" hidden="1">
      <c r="A297" s="7"/>
    </row>
    <row r="298" spans="1:1" hidden="1">
      <c r="A298" s="7"/>
    </row>
    <row r="299" spans="1:1" hidden="1">
      <c r="A299" s="7"/>
    </row>
    <row r="300" spans="1:1" hidden="1">
      <c r="A300" s="7"/>
    </row>
    <row r="301" spans="1:1" hidden="1">
      <c r="A301" s="7"/>
    </row>
    <row r="302" spans="1:1" hidden="1">
      <c r="A302" s="7"/>
    </row>
    <row r="303" spans="1:1" hidden="1">
      <c r="A303" s="7"/>
    </row>
    <row r="304" spans="1:1" hidden="1">
      <c r="A304" s="50"/>
    </row>
    <row r="305" spans="1:1" hidden="1">
      <c r="A305" s="50"/>
    </row>
    <row r="306" spans="1:1" hidden="1">
      <c r="A306" s="69"/>
    </row>
    <row r="307" spans="1:1" hidden="1">
      <c r="A307" s="50"/>
    </row>
    <row r="308" spans="1:1" hidden="1">
      <c r="A308" s="50"/>
    </row>
    <row r="309" spans="1:1" hidden="1">
      <c r="A309" s="49"/>
    </row>
    <row r="310" spans="1:1" hidden="1">
      <c r="A310" s="49"/>
    </row>
    <row r="311" spans="1:1" hidden="1">
      <c r="A311" s="49"/>
    </row>
    <row r="312" spans="1:1" hidden="1">
      <c r="A312" s="49"/>
    </row>
    <row r="313" spans="1:1" hidden="1">
      <c r="A313" s="49"/>
    </row>
    <row r="314" spans="1:1" hidden="1">
      <c r="A314" s="49"/>
    </row>
    <row r="315" spans="1:1" hidden="1">
      <c r="A315" s="49"/>
    </row>
    <row r="316" spans="1:1" hidden="1">
      <c r="A316" s="73"/>
    </row>
    <row r="317" spans="1:1" hidden="1">
      <c r="A317" s="73"/>
    </row>
    <row r="318" spans="1:1" hidden="1">
      <c r="A318" s="49"/>
    </row>
    <row r="319" spans="1:1" hidden="1">
      <c r="A319" s="49"/>
    </row>
    <row r="320" spans="1:1" hidden="1">
      <c r="A320" s="49"/>
    </row>
    <row r="321" spans="1:1" hidden="1">
      <c r="A321" s="49"/>
    </row>
    <row r="322" spans="1:1" hidden="1">
      <c r="A322" s="773"/>
    </row>
    <row r="323" spans="1:1" hidden="1">
      <c r="A323" s="7"/>
    </row>
    <row r="324" spans="1:1" hidden="1">
      <c r="A324" s="773"/>
    </row>
    <row r="325" spans="1:1" hidden="1">
      <c r="A325" s="7"/>
    </row>
    <row r="326" spans="1:1" hidden="1">
      <c r="A326" s="7"/>
    </row>
    <row r="327" spans="1:1" hidden="1">
      <c r="A327" s="7"/>
    </row>
    <row r="328" spans="1:1" hidden="1">
      <c r="A328" s="7"/>
    </row>
    <row r="329" spans="1:1" hidden="1">
      <c r="A329" s="7"/>
    </row>
    <row r="330" spans="1:1" hidden="1">
      <c r="A330" s="7"/>
    </row>
    <row r="331" spans="1:1" hidden="1">
      <c r="A331" s="7"/>
    </row>
    <row r="332" spans="1:1" hidden="1">
      <c r="A332" s="7"/>
    </row>
    <row r="333" spans="1:1" hidden="1">
      <c r="A333" s="7"/>
    </row>
    <row r="334" spans="1:1" hidden="1">
      <c r="A334" s="7"/>
    </row>
    <row r="335" spans="1:1" hidden="1">
      <c r="A335" s="7"/>
    </row>
    <row r="336" spans="1:1" hidden="1">
      <c r="A336" s="7"/>
    </row>
    <row r="337" spans="1:1" hidden="1">
      <c r="A337" s="7"/>
    </row>
    <row r="338" spans="1:1" hidden="1">
      <c r="A338" s="49"/>
    </row>
    <row r="339" spans="1:1" hidden="1">
      <c r="A339" s="50"/>
    </row>
    <row r="340" spans="1:1" hidden="1">
      <c r="A340" s="50"/>
    </row>
    <row r="341" spans="1:1" hidden="1">
      <c r="A341" s="50"/>
    </row>
    <row r="342" spans="1:1" hidden="1">
      <c r="A342" s="49"/>
    </row>
    <row r="343" spans="1:1" hidden="1">
      <c r="A343" s="49"/>
    </row>
    <row r="344" spans="1:1" hidden="1">
      <c r="A344" s="49"/>
    </row>
    <row r="345" spans="1:1" hidden="1">
      <c r="A345" s="49"/>
    </row>
    <row r="346" spans="1:1" hidden="1">
      <c r="A346" s="49"/>
    </row>
    <row r="347" spans="1:1" hidden="1">
      <c r="A347" s="49"/>
    </row>
    <row r="348" spans="1:1" hidden="1">
      <c r="A348" s="49"/>
    </row>
    <row r="349" spans="1:1" hidden="1">
      <c r="A349" s="49"/>
    </row>
    <row r="350" spans="1:1" hidden="1">
      <c r="A350" s="49"/>
    </row>
    <row r="351" spans="1:1" hidden="1">
      <c r="A351" s="49"/>
    </row>
    <row r="352" spans="1:1" hidden="1">
      <c r="A352" s="49"/>
    </row>
    <row r="353" spans="1:1" hidden="1">
      <c r="A353" s="49"/>
    </row>
    <row r="354" spans="1:1" hidden="1">
      <c r="A354" s="49"/>
    </row>
    <row r="355" spans="1:1" hidden="1">
      <c r="A355" s="49"/>
    </row>
    <row r="356" spans="1:1" hidden="1">
      <c r="A356" s="73"/>
    </row>
    <row r="357" spans="1:1" hidden="1">
      <c r="A357" s="73"/>
    </row>
    <row r="358" spans="1:1" hidden="1">
      <c r="A358" s="49"/>
    </row>
    <row r="359" spans="1:1" hidden="1">
      <c r="A359" s="49"/>
    </row>
    <row r="360" spans="1:1" hidden="1">
      <c r="A360" s="49"/>
    </row>
    <row r="361" spans="1:1" hidden="1">
      <c r="A361" s="49"/>
    </row>
    <row r="362" spans="1:1" hidden="1">
      <c r="A362" s="49"/>
    </row>
    <row r="363" spans="1:1" hidden="1">
      <c r="A363" s="7"/>
    </row>
    <row r="364" spans="1:1" hidden="1">
      <c r="A364" s="7"/>
    </row>
    <row r="365" spans="1:1" hidden="1">
      <c r="A365" s="7"/>
    </row>
    <row r="366" spans="1:1" hidden="1">
      <c r="A366" s="7"/>
    </row>
    <row r="367" spans="1:1" hidden="1">
      <c r="A367" s="7"/>
    </row>
    <row r="368" spans="1:1" hidden="1">
      <c r="A368" s="7"/>
    </row>
    <row r="369" spans="1:1" hidden="1">
      <c r="A369" s="7"/>
    </row>
    <row r="370" spans="1:1" hidden="1">
      <c r="A370" s="7"/>
    </row>
    <row r="371" spans="1:1" hidden="1">
      <c r="A371" s="7"/>
    </row>
    <row r="372" spans="1:1" hidden="1">
      <c r="A372" s="8"/>
    </row>
    <row r="373" spans="1:1" hidden="1">
      <c r="A373" s="8"/>
    </row>
    <row r="374" spans="1:1" hidden="1">
      <c r="A374" s="7"/>
    </row>
    <row r="375" spans="1:1" hidden="1">
      <c r="A375" s="49"/>
    </row>
    <row r="376" spans="1:1" hidden="1">
      <c r="A376" s="50"/>
    </row>
    <row r="377" spans="1:1" hidden="1">
      <c r="A377" s="50"/>
    </row>
    <row r="378" spans="1:1" hidden="1">
      <c r="A378" s="50"/>
    </row>
    <row r="379" spans="1:1" hidden="1">
      <c r="A379" s="50"/>
    </row>
    <row r="380" spans="1:1" hidden="1">
      <c r="A380" s="50"/>
    </row>
    <row r="381" spans="1:1" hidden="1">
      <c r="A381" s="50"/>
    </row>
    <row r="382" spans="1:1" hidden="1">
      <c r="A382" s="50"/>
    </row>
    <row r="383" spans="1:1" hidden="1">
      <c r="A383" s="50"/>
    </row>
    <row r="384" spans="1:1" hidden="1">
      <c r="A384" s="50"/>
    </row>
    <row r="385" spans="1:1" hidden="1">
      <c r="A385" s="51"/>
    </row>
    <row r="386" spans="1:1" hidden="1">
      <c r="A386" s="49"/>
    </row>
    <row r="387" spans="1:1" hidden="1">
      <c r="A387" s="49"/>
    </row>
    <row r="388" spans="1:1" hidden="1">
      <c r="A388" s="49"/>
    </row>
    <row r="389" spans="1:1" hidden="1">
      <c r="A389" s="49"/>
    </row>
    <row r="390" spans="1:1" hidden="1">
      <c r="A390" s="49"/>
    </row>
    <row r="391" spans="1:1" hidden="1">
      <c r="A391" s="49"/>
    </row>
    <row r="392" spans="1:1" hidden="1">
      <c r="A392" s="49"/>
    </row>
    <row r="393" spans="1:1" hidden="1">
      <c r="A393" s="49"/>
    </row>
    <row r="394" spans="1:1" hidden="1">
      <c r="A394" s="49"/>
    </row>
    <row r="395" spans="1:1" hidden="1">
      <c r="A395" s="49"/>
    </row>
    <row r="396" spans="1:1" hidden="1">
      <c r="A396" s="49"/>
    </row>
    <row r="397" spans="1:1" hidden="1">
      <c r="A397" s="49"/>
    </row>
    <row r="398" spans="1:1" hidden="1">
      <c r="A398" s="49"/>
    </row>
    <row r="399" spans="1:1" hidden="1">
      <c r="A399" s="49"/>
    </row>
    <row r="400" spans="1:1" hidden="1">
      <c r="A400" s="73"/>
    </row>
    <row r="401" spans="1:1" hidden="1">
      <c r="A401" s="73"/>
    </row>
    <row r="402" spans="1:1" hidden="1">
      <c r="A402" s="49"/>
    </row>
    <row r="403" spans="1:1" hidden="1">
      <c r="A403" s="49"/>
    </row>
    <row r="404" spans="1:1" hidden="1">
      <c r="A404" s="49"/>
    </row>
    <row r="405" spans="1:1" hidden="1">
      <c r="A405" s="49"/>
    </row>
    <row r="406" spans="1:1" hidden="1">
      <c r="A406" s="49"/>
    </row>
    <row r="407" spans="1:1" hidden="1">
      <c r="A407" s="7"/>
    </row>
    <row r="408" spans="1:1" hidden="1">
      <c r="A408" s="7"/>
    </row>
    <row r="409" spans="1:1" hidden="1">
      <c r="A409" s="7"/>
    </row>
    <row r="410" spans="1:1" hidden="1">
      <c r="A410" s="7"/>
    </row>
    <row r="411" spans="1:1" hidden="1">
      <c r="A411" s="7"/>
    </row>
    <row r="412" spans="1:1" hidden="1">
      <c r="A412" s="7"/>
    </row>
    <row r="413" spans="1:1" hidden="1">
      <c r="A413" s="7"/>
    </row>
    <row r="414" spans="1:1" hidden="1">
      <c r="A414" s="7"/>
    </row>
    <row r="415" spans="1:1" hidden="1">
      <c r="A415" s="7"/>
    </row>
    <row r="416" spans="1:1" hidden="1">
      <c r="A416" s="7"/>
    </row>
    <row r="417" spans="1:1" hidden="1">
      <c r="A417" s="7"/>
    </row>
    <row r="418" spans="1:1" hidden="1">
      <c r="A418" s="7"/>
    </row>
    <row r="419" spans="1:1" hidden="1">
      <c r="A419" s="7"/>
    </row>
    <row r="420" spans="1:1" hidden="1">
      <c r="A420" s="7"/>
    </row>
    <row r="421" spans="1:1" hidden="1">
      <c r="A421" s="7"/>
    </row>
    <row r="422" spans="1:1" hidden="1">
      <c r="A422" s="7"/>
    </row>
    <row r="423" spans="1:1" hidden="1">
      <c r="A423" s="7"/>
    </row>
    <row r="424" spans="1:1" hidden="1">
      <c r="A424" s="7"/>
    </row>
    <row r="425" spans="1:1" hidden="1">
      <c r="A425" s="7"/>
    </row>
    <row r="426" spans="1:1" hidden="1">
      <c r="A426" s="8"/>
    </row>
    <row r="427" spans="1:1" hidden="1">
      <c r="A427" s="128"/>
    </row>
    <row r="428" spans="1:1" hidden="1">
      <c r="A428" s="128"/>
    </row>
    <row r="429" spans="1:1" hidden="1">
      <c r="A429" s="128"/>
    </row>
    <row r="430" spans="1:1" hidden="1">
      <c r="A430" s="49"/>
    </row>
    <row r="431" spans="1:1" hidden="1">
      <c r="A431" s="51"/>
    </row>
    <row r="432" spans="1:1" hidden="1">
      <c r="A432" s="49"/>
    </row>
    <row r="433" spans="1:1" hidden="1">
      <c r="A433" s="49"/>
    </row>
    <row r="434" spans="1:1" hidden="1">
      <c r="A434" s="49"/>
    </row>
    <row r="435" spans="1:1" hidden="1">
      <c r="A435" s="49"/>
    </row>
    <row r="436" spans="1:1" hidden="1">
      <c r="A436" s="49"/>
    </row>
    <row r="437" spans="1:1" hidden="1">
      <c r="A437" s="49"/>
    </row>
    <row r="438" spans="1:1" hidden="1">
      <c r="A438" s="49"/>
    </row>
    <row r="439" spans="1:1" hidden="1">
      <c r="A439" s="49"/>
    </row>
    <row r="440" spans="1:1" hidden="1">
      <c r="A440" s="49"/>
    </row>
    <row r="441" spans="1:1" hidden="1">
      <c r="A441" s="49"/>
    </row>
    <row r="442" spans="1:1" hidden="1">
      <c r="A442" s="49"/>
    </row>
    <row r="443" spans="1:1" hidden="1">
      <c r="A443" s="49"/>
    </row>
    <row r="444" spans="1:1" hidden="1">
      <c r="A444" s="49"/>
    </row>
    <row r="445" spans="1:1" hidden="1">
      <c r="A445" s="49"/>
    </row>
    <row r="446" spans="1:1" hidden="1">
      <c r="A446" s="73"/>
    </row>
    <row r="447" spans="1:1" hidden="1">
      <c r="A447" s="73"/>
    </row>
    <row r="448" spans="1:1" hidden="1">
      <c r="A448" s="49"/>
    </row>
    <row r="449" spans="1:1" hidden="1">
      <c r="A449" s="49"/>
    </row>
    <row r="450" spans="1:1" hidden="1">
      <c r="A450" s="49"/>
    </row>
    <row r="451" spans="1:1" hidden="1">
      <c r="A451" s="49"/>
    </row>
    <row r="452" spans="1:1" hidden="1">
      <c r="A452" s="49"/>
    </row>
    <row r="453" spans="1:1" hidden="1">
      <c r="A453" s="7"/>
    </row>
    <row r="454" spans="1:1" hidden="1">
      <c r="A454" s="7"/>
    </row>
    <row r="455" spans="1:1" hidden="1">
      <c r="A455" s="7"/>
    </row>
    <row r="456" spans="1:1" hidden="1">
      <c r="A456" s="7"/>
    </row>
    <row r="457" spans="1:1" hidden="1">
      <c r="A457" s="7"/>
    </row>
    <row r="458" spans="1:1" hidden="1">
      <c r="A458" s="7"/>
    </row>
    <row r="459" spans="1:1" hidden="1">
      <c r="A459" s="7"/>
    </row>
    <row r="460" spans="1:1" hidden="1">
      <c r="A460" s="7"/>
    </row>
    <row r="461" spans="1:1" hidden="1">
      <c r="A461" s="7"/>
    </row>
    <row r="462" spans="1:1" hidden="1">
      <c r="A462" s="8"/>
    </row>
    <row r="463" spans="1:1" hidden="1">
      <c r="A463" s="856"/>
    </row>
    <row r="464" spans="1:1" hidden="1">
      <c r="A464" s="856"/>
    </row>
    <row r="465" spans="1:1" hidden="1">
      <c r="A465" s="856"/>
    </row>
    <row r="466" spans="1:1" hidden="1">
      <c r="A466" s="856"/>
    </row>
    <row r="467" spans="1:1" hidden="1">
      <c r="A467" s="856"/>
    </row>
    <row r="468" spans="1:1" hidden="1">
      <c r="A468" s="8"/>
    </row>
    <row r="469" spans="1:1" hidden="1">
      <c r="A469" s="128"/>
    </row>
    <row r="470" spans="1:1" hidden="1">
      <c r="A470" s="128"/>
    </row>
    <row r="471" spans="1:1" hidden="1">
      <c r="A471" s="49"/>
    </row>
    <row r="472" spans="1:1" hidden="1">
      <c r="A472" s="49"/>
    </row>
    <row r="473" spans="1:1" hidden="1">
      <c r="A473" s="49"/>
    </row>
    <row r="474" spans="1:1" hidden="1">
      <c r="A474" s="49"/>
    </row>
    <row r="475" spans="1:1" hidden="1">
      <c r="A475" s="8"/>
    </row>
    <row r="476" spans="1:1" hidden="1">
      <c r="A476" s="7"/>
    </row>
    <row r="477" spans="1:1" hidden="1">
      <c r="A477" s="7"/>
    </row>
    <row r="478" spans="1:1" hidden="1">
      <c r="A478" s="7"/>
    </row>
    <row r="479" spans="1:1" hidden="1">
      <c r="A479" s="7"/>
    </row>
    <row r="480" spans="1:1" hidden="1">
      <c r="A480" s="7"/>
    </row>
    <row r="481" spans="1:1" hidden="1">
      <c r="A481" s="7"/>
    </row>
    <row r="482" spans="1:1" hidden="1">
      <c r="A482" s="7"/>
    </row>
    <row r="483" spans="1:1" hidden="1">
      <c r="A483" s="8"/>
    </row>
    <row r="484" spans="1:1" hidden="1">
      <c r="A484" s="49"/>
    </row>
    <row r="485" spans="1:1" hidden="1">
      <c r="A485" s="49"/>
    </row>
    <row r="486" spans="1:1" hidden="1">
      <c r="A486" s="856"/>
    </row>
    <row r="487" spans="1:1" hidden="1">
      <c r="A487" s="8"/>
    </row>
    <row r="488" spans="1:1" hidden="1">
      <c r="A488" s="7"/>
    </row>
    <row r="489" spans="1:1" hidden="1">
      <c r="A489" s="8"/>
    </row>
    <row r="490" spans="1:1" hidden="1">
      <c r="A490" s="8"/>
    </row>
    <row r="491" spans="1:1" hidden="1">
      <c r="A491" s="8"/>
    </row>
    <row r="492" spans="1:1" hidden="1">
      <c r="A492" s="865"/>
    </row>
    <row r="493" spans="1:1" hidden="1">
      <c r="A493" s="7"/>
    </row>
    <row r="494" spans="1:1" hidden="1">
      <c r="A494" s="7"/>
    </row>
    <row r="495" spans="1:1" hidden="1">
      <c r="A495" s="8"/>
    </row>
    <row r="496" spans="1:1" hidden="1">
      <c r="A496" s="49"/>
    </row>
    <row r="497" spans="1:1" hidden="1">
      <c r="A497" s="462"/>
    </row>
    <row r="498" spans="1:1" hidden="1">
      <c r="A498" s="856"/>
    </row>
    <row r="499" spans="1:1" hidden="1">
      <c r="A499" s="49"/>
    </row>
    <row r="500" spans="1:1" hidden="1">
      <c r="A500" s="49"/>
    </row>
    <row r="501" spans="1:1" hidden="1">
      <c r="A501" s="49"/>
    </row>
    <row r="502" spans="1:1" hidden="1">
      <c r="A502" s="363"/>
    </row>
    <row r="503" spans="1:1" hidden="1">
      <c r="A503" s="365"/>
    </row>
    <row r="504" spans="1:1" hidden="1">
      <c r="A504" s="462"/>
    </row>
    <row r="505" spans="1:1" hidden="1">
      <c r="A505" s="869"/>
    </row>
    <row r="506" spans="1:1" hidden="1">
      <c r="A506" s="462"/>
    </row>
    <row r="507" spans="1:1" hidden="1">
      <c r="A507" s="462"/>
    </row>
    <row r="508" spans="1:1" hidden="1">
      <c r="A508" s="457"/>
    </row>
    <row r="509" spans="1:1" hidden="1">
      <c r="A509" s="870"/>
    </row>
    <row r="510" spans="1:1" hidden="1">
      <c r="A510" s="457"/>
    </row>
    <row r="511" spans="1:1" hidden="1">
      <c r="A511" s="457"/>
    </row>
    <row r="512" spans="1:1" hidden="1">
      <c r="A512" s="457"/>
    </row>
    <row r="513" spans="1:1" hidden="1">
      <c r="A513" s="865"/>
    </row>
    <row r="514" spans="1:1" hidden="1">
      <c r="A514" s="7"/>
    </row>
    <row r="515" spans="1:1" hidden="1">
      <c r="A515" s="7"/>
    </row>
    <row r="516" spans="1:1" hidden="1">
      <c r="A516" s="49"/>
    </row>
    <row r="517" spans="1:1" hidden="1">
      <c r="A517" s="49"/>
    </row>
    <row r="518" spans="1:1" hidden="1">
      <c r="A518" s="49"/>
    </row>
    <row r="519" spans="1:1" hidden="1">
      <c r="A519" s="49"/>
    </row>
    <row r="520" spans="1:1" hidden="1">
      <c r="A520" s="49"/>
    </row>
    <row r="521" spans="1:1" hidden="1">
      <c r="A521" s="49"/>
    </row>
    <row r="522" spans="1:1" hidden="1">
      <c r="A522" s="856"/>
    </row>
    <row r="523" spans="1:1" hidden="1">
      <c r="A523" s="856"/>
    </row>
    <row r="524" spans="1:1" hidden="1">
      <c r="A524" s="856"/>
    </row>
    <row r="525" spans="1:1" hidden="1">
      <c r="A525" s="8"/>
    </row>
    <row r="526" spans="1:1" hidden="1">
      <c r="A526" s="121"/>
    </row>
    <row r="527" spans="1:1" hidden="1">
      <c r="A527" s="49"/>
    </row>
    <row r="528" spans="1:1" hidden="1">
      <c r="A528" s="462"/>
    </row>
    <row r="529" spans="1:1" hidden="1">
      <c r="A529" s="462"/>
    </row>
    <row r="530" spans="1:1" hidden="1"/>
  </sheetData>
  <sortState xmlns:xlrd2="http://schemas.microsoft.com/office/spreadsheetml/2017/richdata2" ref="A1:A529">
    <sortCondition ref="A1:A529"/>
  </sortState>
  <hyperlinks>
    <hyperlink ref="A173" r:id="rId1" xr:uid="{1C66C6C1-FA0E-484A-8565-50BAD839AD4B}"/>
    <hyperlink ref="A191" r:id="rId2" xr:uid="{256785F3-E96C-4A65-9D4E-877BEE960248}"/>
    <hyperlink ref="A48" r:id="rId3" xr:uid="{5BBFE57B-458D-4FDB-8686-40F5CA362501}"/>
    <hyperlink ref="A219" r:id="rId4" xr:uid="{44446046-E5AA-41F3-8896-7A59C0226268}"/>
    <hyperlink ref="A20" r:id="rId5" xr:uid="{AED601FA-5A17-45C9-96E9-15E49A7EDA3C}"/>
    <hyperlink ref="A42" r:id="rId6" xr:uid="{34458BB0-81A5-4237-BFB0-0E4ED5464D41}"/>
    <hyperlink ref="A150" r:id="rId7" xr:uid="{09DE20C5-541A-4177-9890-C0DEBB70466F}"/>
    <hyperlink ref="A18" r:id="rId8" xr:uid="{CE27C37A-D3D8-4C37-9634-FD7F19D9DB5B}"/>
    <hyperlink ref="A163" r:id="rId9" xr:uid="{EAFB7872-7056-48B4-A6F6-16291D3D5CB3}"/>
    <hyperlink ref="A136" r:id="rId10" xr:uid="{8637DD0A-8116-4603-B179-E2D25CFCAB62}"/>
    <hyperlink ref="A138" r:id="rId11" xr:uid="{D633F9C2-AAB4-4CA9-B1E6-37B2F1CC71B3}"/>
    <hyperlink ref="A220" r:id="rId12" xr:uid="{1115BC06-C175-49E9-92D7-B0B7CCFA2B54}"/>
    <hyperlink ref="A128" r:id="rId13" xr:uid="{5F4A6C14-A299-4870-A355-BA857EBE89F8}"/>
    <hyperlink ref="A11" r:id="rId14" xr:uid="{D18E4154-C899-4793-B2E0-C2A9B91C414B}"/>
    <hyperlink ref="A41" r:id="rId15" xr:uid="{F8DB0F99-6065-46D2-9A31-96A785EA0406}"/>
    <hyperlink ref="A98" r:id="rId16" xr:uid="{AC4863FD-59EC-4A2B-953F-BE57783DA880}"/>
    <hyperlink ref="A91" r:id="rId17" xr:uid="{C7EA46DF-4AF8-4294-B9D0-AC35910D0598}"/>
    <hyperlink ref="A34" r:id="rId18" xr:uid="{E7BDB50F-20DE-4939-AA67-19230BCDB9CF}"/>
    <hyperlink ref="A174" r:id="rId19" xr:uid="{2B1B9A02-63E2-4690-809D-BDE614EFFB45}"/>
    <hyperlink ref="A125" r:id="rId20" xr:uid="{D8D0397A-4D83-4750-9E02-3E74828A74AB}"/>
    <hyperlink ref="A107" r:id="rId21" xr:uid="{318BC261-F5AC-4136-AB48-528C8E9DC529}"/>
    <hyperlink ref="A132" r:id="rId22" xr:uid="{0DFA96D4-A739-49E5-9B42-8FE8FD10EC8D}"/>
    <hyperlink ref="A166" r:id="rId23" xr:uid="{6CB24ED7-8BBA-42C8-A3A6-A3133073CAB6}"/>
    <hyperlink ref="A164" r:id="rId24" xr:uid="{A98BF911-DD52-4DE2-A7E8-D3B639C359C1}"/>
    <hyperlink ref="A87" r:id="rId25" xr:uid="{98314E93-AB5B-42C3-B691-794457DFEAF3}"/>
    <hyperlink ref="A26" r:id="rId26" xr:uid="{6478F33B-0156-4F26-8DFF-29AEFBC21D4F}"/>
    <hyperlink ref="A104" r:id="rId27" xr:uid="{F6A14E99-FEDF-483A-931D-915380EF353E}"/>
    <hyperlink ref="A146" r:id="rId28" xr:uid="{E1525A33-C4F9-4F3F-A305-96A51BE5B42E}"/>
    <hyperlink ref="A175" r:id="rId29" xr:uid="{6E9FF99C-E21B-4613-8C65-B160860D84B6}"/>
    <hyperlink ref="A168" r:id="rId30" xr:uid="{400E4D80-0F91-42D6-8E49-5A4A9F676302}"/>
    <hyperlink ref="A76" r:id="rId31" xr:uid="{BAA65CE5-99EF-48E3-BF4E-A975C95C5DB2}"/>
    <hyperlink ref="A27" r:id="rId32" xr:uid="{2DE815B6-1B78-4B82-8F47-897DA9A9DEA9}"/>
    <hyperlink ref="A39" r:id="rId33" xr:uid="{D0DBC35B-EF1F-46CA-A3C1-18C603096639}"/>
    <hyperlink ref="A145" r:id="rId34" xr:uid="{4A7E85D7-3A08-4468-9068-4A9ADEBCA61C}"/>
    <hyperlink ref="A79" r:id="rId35" xr:uid="{08DD2D2D-1186-4813-A8A9-8F2F0F7DFA07}"/>
    <hyperlink ref="A60" r:id="rId36" xr:uid="{DE41788C-5FF7-4F92-839F-323570344DA9}"/>
    <hyperlink ref="A84" r:id="rId37" xr:uid="{7AB20EBD-42CB-4FBE-858B-2B5C4803DB57}"/>
    <hyperlink ref="A142" r:id="rId38" xr:uid="{C8F8BED5-B5F6-46CE-8ECE-8B75BB9A4821}"/>
    <hyperlink ref="A115" r:id="rId39" display="mailto:kiki.tipunch@wanadoo.fr" xr:uid="{A5770B21-FA2B-4514-93D1-8CF8247177AD}"/>
    <hyperlink ref="A61" r:id="rId40" xr:uid="{49921DB2-76EB-4A43-8643-192BFD41640F}"/>
    <hyperlink ref="A6" r:id="rId41" xr:uid="{153615A1-D450-4FA0-BE25-BA5B6F6CD0A9}"/>
    <hyperlink ref="A126" r:id="rId42" xr:uid="{24EF4BC7-5AF0-466A-9A67-67E20AFC41DD}"/>
    <hyperlink ref="A68" r:id="rId43" xr:uid="{97B8BEB1-DF82-450B-AD39-7A9EDE24F43A}"/>
    <hyperlink ref="A59" r:id="rId44" display="duchenenicola@yahoo.fr " xr:uid="{623C24A8-8606-40A7-990F-2199FE85BFF2}"/>
    <hyperlink ref="A47" r:id="rId45" xr:uid="{A931E070-4282-45EC-A075-459ABCE7BC6B}"/>
    <hyperlink ref="A149" r:id="rId46" xr:uid="{F7F47A09-9D04-4BBD-8004-38230AC4DCFE}"/>
    <hyperlink ref="A190" r:id="rId47" xr:uid="{DAF3040D-D273-4027-819D-45C79FEB3753}"/>
    <hyperlink ref="A208" r:id="rId48" xr:uid="{9B455636-F8D3-427D-B870-BFA9A793B88C}"/>
    <hyperlink ref="A152" r:id="rId49" xr:uid="{F31DFD75-780A-4995-A4BB-7BA6309737AE}"/>
    <hyperlink ref="A165" r:id="rId50" xr:uid="{19F332D1-6FF1-4FE9-8226-8E9EDB512066}"/>
    <hyperlink ref="A114" r:id="rId51" xr:uid="{AC02AA54-7209-45A9-AC40-1EDA227CA379}"/>
    <hyperlink ref="A121" r:id="rId52" xr:uid="{C32AC620-3C1A-4B0E-ACF3-59D76C722700}"/>
    <hyperlink ref="A62" r:id="rId53" xr:uid="{945EEECF-2577-47EA-8D5E-C7B44B6520A3}"/>
    <hyperlink ref="A86" r:id="rId54" xr:uid="{EAE865E6-D11A-4ECA-B6FD-D9D701A64738}"/>
    <hyperlink ref="A46" r:id="rId55" xr:uid="{AEF2CBD1-E784-4966-ADB2-0888C0D29A04}"/>
    <hyperlink ref="A94" r:id="rId56" xr:uid="{8898990D-DF1A-470C-BF08-F35A9ECC1B71}"/>
    <hyperlink ref="A209" r:id="rId57" xr:uid="{FE51CEC8-DA72-43D9-9A57-C5B21F44DB4C}"/>
    <hyperlink ref="A83" r:id="rId58" xr:uid="{CA4E3275-1E67-4D7D-9480-EAAD53200236}"/>
    <hyperlink ref="A40" r:id="rId59" xr:uid="{74CD20A4-C83E-4CF0-83D7-E4DC2BE6468B}"/>
    <hyperlink ref="A64" r:id="rId60" xr:uid="{F8E4D701-78BF-4BC3-8D78-0FA12D0C23F6}"/>
    <hyperlink ref="A196" r:id="rId61" xr:uid="{7F0BD187-0FEE-470F-B69F-866D6DF068CD}"/>
    <hyperlink ref="A130" r:id="rId62" xr:uid="{6614A480-788A-4343-8793-FDCA2C523A10}"/>
    <hyperlink ref="A58" r:id="rId63" xr:uid="{AE3838DF-B71E-464F-8D01-3869130E829E}"/>
    <hyperlink ref="A363" r:id="rId64" display="erwanhubert@free.fr" xr:uid="{E1A48945-0124-4888-AA7B-CBD262755DD7}"/>
    <hyperlink ref="A157" r:id="rId65" xr:uid="{8A98BFA4-9589-467E-B732-598CBDFD9F8B}"/>
    <hyperlink ref="A153" r:id="rId66" xr:uid="{2DFCF55A-51B7-47EE-A365-1ACD0CFACF8A}"/>
    <hyperlink ref="A32" r:id="rId67" xr:uid="{29FF356D-56F6-4978-88A1-0E48B65D50C1}"/>
    <hyperlink ref="A195" r:id="rId68" xr:uid="{1E869540-E1F7-4DE8-9F27-1066EFB5067A}"/>
    <hyperlink ref="A122" r:id="rId69" xr:uid="{02B8C7B6-32AC-4C3A-B46B-2462D0ED6542}"/>
    <hyperlink ref="A201" r:id="rId70" xr:uid="{0209AB79-D87A-40E7-B8F2-A5A121D821FF}"/>
    <hyperlink ref="A204" r:id="rId71" xr:uid="{FA629D9B-7BD1-4BB5-BF30-A9E18A2D17CC}"/>
    <hyperlink ref="A178" r:id="rId72" xr:uid="{AEDC06BA-6572-48CE-B447-B833084CB6E1}"/>
    <hyperlink ref="A193" r:id="rId73" xr:uid="{26E8E439-70F0-48B3-ADCE-F87E7CEB0739}"/>
    <hyperlink ref="A119" r:id="rId74" xr:uid="{B31C3EE3-1064-4DFF-88DB-B3D168BA8C19}"/>
    <hyperlink ref="A186" r:id="rId75" xr:uid="{7BD4B5AE-7E41-48D1-9F04-9C7CBD675C28}"/>
    <hyperlink ref="A16" r:id="rId76" xr:uid="{E105C8EE-B488-4CC0-A53B-4EF4B3B91832}"/>
    <hyperlink ref="A38" r:id="rId77" xr:uid="{567554F8-62B4-49FC-8F85-939C8A00DD16}"/>
    <hyperlink ref="A407" r:id="rId78" display="erwanhubert@free.fr" xr:uid="{A4555A1D-9C83-4470-847D-A46321A7783D}"/>
    <hyperlink ref="A147" r:id="rId79" xr:uid="{4D86B2F1-01FF-4A62-91F1-4108A706F89F}"/>
    <hyperlink ref="A116" r:id="rId80" xr:uid="{494B949D-F576-496F-856C-C800026C5EA6}"/>
    <hyperlink ref="A135" r:id="rId81" xr:uid="{CEBF99F0-A018-42A8-8EAB-5F84130D4C3D}"/>
    <hyperlink ref="A160" r:id="rId82" xr:uid="{F0D2F9ED-022B-4F4D-98D0-48A1859B1904}"/>
    <hyperlink ref="A169" r:id="rId83" xr:uid="{569C0CAB-F06C-48D2-863C-481CC214CF92}"/>
    <hyperlink ref="A57" r:id="rId84" xr:uid="{986ADE8B-AD38-4AC5-88AF-7EE0DB7716A6}"/>
    <hyperlink ref="A154" r:id="rId85" xr:uid="{AE3C0678-C13C-4605-9F42-A0FABDA54EAC}"/>
    <hyperlink ref="A162" r:id="rId86" xr:uid="{2C682509-74C9-4701-9882-B687F3FBB8B7}"/>
    <hyperlink ref="A35" r:id="rId87" xr:uid="{D7668DC5-593B-4C09-B531-B7E408632D00}"/>
    <hyperlink ref="A12" r:id="rId88" xr:uid="{D56558AA-3BC4-40B1-AD49-3520B835496F}"/>
    <hyperlink ref="A131" r:id="rId89" xr:uid="{402D8E98-8E9C-4CD2-89D7-647F5A1A6753}"/>
    <hyperlink ref="A158" r:id="rId90" xr:uid="{01619365-A661-4317-9873-FFED97B8A347}"/>
    <hyperlink ref="A51" r:id="rId91" xr:uid="{E3B8CCC5-DEC5-40FC-A218-10A777746925}"/>
    <hyperlink ref="A88" r:id="rId92" xr:uid="{DDBB6171-7CFB-4129-B0CE-11422B5E93D6}"/>
    <hyperlink ref="A63" r:id="rId93" xr:uid="{AA9A7C13-3540-4514-B566-0719938A2690}"/>
    <hyperlink ref="A29" r:id="rId94" xr:uid="{0C6C3746-D0E9-463B-8E0D-EFCC103B7F95}"/>
    <hyperlink ref="A103" r:id="rId95" xr:uid="{08DBFA6E-6237-4342-9C8B-8DF3064D46BA}"/>
    <hyperlink ref="A214" r:id="rId96" xr:uid="{02FFBBEA-D97D-4AE7-8518-CC1ABE2AF20D}"/>
    <hyperlink ref="A155" r:id="rId97" xr:uid="{18047FB9-F94E-4AA1-9981-51F6FB3384AD}"/>
    <hyperlink ref="A221" r:id="rId98" xr:uid="{ACBA21B5-783B-4E36-8051-F389C8EC15FB}"/>
    <hyperlink ref="A453" r:id="rId99" display="erwanhubert@free.fr" xr:uid="{857AE363-40D7-4C24-B4D2-37DD966F78AC}"/>
    <hyperlink ref="A90" r:id="rId100" xr:uid="{05062F5C-F121-4B77-B730-A31BB97FDB59}"/>
    <hyperlink ref="A70" r:id="rId101" xr:uid="{7EE3314E-EA1F-4D36-97E9-0E0A85DA2E97}"/>
    <hyperlink ref="A53" r:id="rId102" xr:uid="{74FE6A4E-4FAF-482E-B448-6A9F02E75C4F}"/>
    <hyperlink ref="A188" r:id="rId103" display="mailto:sandra@rudelwohl-zach.de" xr:uid="{324F11CB-B1B6-4E14-9CC3-14DBCFD01858}"/>
    <hyperlink ref="A109" r:id="rId104" xr:uid="{5CA1A502-2FF8-4429-AB53-49CE960D9F9A}"/>
    <hyperlink ref="A184" r:id="rId105" xr:uid="{891744E4-251D-4BAF-A39E-32C8D7E678A0}"/>
    <hyperlink ref="A118" r:id="rId106" xr:uid="{12070275-0C8A-4629-83C9-45EBD5ED21B7}"/>
    <hyperlink ref="A72" r:id="rId107" xr:uid="{1AA60B75-31C3-4C6E-ACDD-D69DC43D05DE}"/>
    <hyperlink ref="A177" r:id="rId108" xr:uid="{60F7D25E-30AC-4FF9-A0B8-4D3281264FE0}"/>
    <hyperlink ref="A31" r:id="rId109" xr:uid="{67AF49CB-564B-4AA7-8BF6-8C5C66A3CD63}"/>
    <hyperlink ref="A82" r:id="rId110" display="mailto:gmmanzi@aol.com" xr:uid="{BAA338C8-B18B-49D9-B1BB-E6F38BE37026}"/>
    <hyperlink ref="A113" r:id="rId111" xr:uid="{4B0DD9ED-D79D-4B8D-BB84-50BC0B0BA3E0}"/>
    <hyperlink ref="A144" r:id="rId112" xr:uid="{F871F8E9-F423-4221-9E3D-E61B191A05C5}"/>
    <hyperlink ref="A66" r:id="rId113" xr:uid="{D251DAA8-DB19-442F-BE8A-B339986DBF96}"/>
    <hyperlink ref="A14" r:id="rId114" xr:uid="{7AFCC5D0-62F6-4826-B8C9-9C651D4ADF3C}"/>
    <hyperlink ref="A198" r:id="rId115" xr:uid="{63EE7549-19CE-424E-8CB2-FA36DEFFBE00}"/>
    <hyperlink ref="A172" r:id="rId116" xr:uid="{1C68538E-9309-4EF2-94EE-A30373CCE72A}"/>
    <hyperlink ref="A156" r:id="rId117" xr:uid="{4FE5A14F-83E0-4CE7-B6BA-1E7A85C4A217}"/>
    <hyperlink ref="A74" r:id="rId118" xr:uid="{A99E5DED-3539-4413-8A89-9C1ADB20EB44}"/>
    <hyperlink ref="A211" r:id="rId119" xr:uid="{764E8998-06C3-4E60-97FC-1BD1C5E26787}"/>
    <hyperlink ref="A140" r:id="rId120" xr:uid="{C3DC27FA-A59F-4E3A-AEDE-A71346AD308F}"/>
    <hyperlink ref="A105" r:id="rId121" xr:uid="{ED170322-18CB-4471-B7C2-89CEB8D1F893}"/>
    <hyperlink ref="A3" r:id="rId122" xr:uid="{8FCD04E7-010A-4EB2-A5D6-93F757989B5E}"/>
    <hyperlink ref="A54" r:id="rId123" xr:uid="{FA9743CA-8F43-44FE-A4AE-B72AC7FDEF6B}"/>
    <hyperlink ref="A95" r:id="rId124" xr:uid="{B7B13F7D-1A79-4F5F-9ADF-9AE935DE6D23}"/>
    <hyperlink ref="A133" r:id="rId125" xr:uid="{F7356D7D-F547-4D79-BA4A-00A9D33FEE2E}"/>
    <hyperlink ref="A148" r:id="rId126" xr:uid="{B15303DE-5D75-4B24-A95C-A672A6FECD7B}"/>
    <hyperlink ref="A33" r:id="rId127" xr:uid="{3A9B8E69-3072-4EB9-A5DA-34E022F38D3F}"/>
    <hyperlink ref="A185" r:id="rId128" xr:uid="{32DD24A1-578A-4B6B-8A99-A3B729B1A93A}"/>
    <hyperlink ref="A67" r:id="rId129" xr:uid="{4573F52D-3DD0-44A5-9596-1C44CB30CC39}"/>
    <hyperlink ref="A200" r:id="rId130" xr:uid="{63824E30-6291-4548-A337-B4A375D6C1E8}"/>
    <hyperlink ref="A9" r:id="rId131" xr:uid="{CCD61410-D753-4E76-80A0-B2DB792945E4}"/>
    <hyperlink ref="A181" r:id="rId132" xr:uid="{923FEBB3-9860-4C0A-A278-EEBBCAE89A4D}"/>
    <hyperlink ref="A19" r:id="rId133" xr:uid="{91DCA933-02C4-4C4D-BAB4-159AD07AD227}"/>
    <hyperlink ref="A120" r:id="rId134" xr:uid="{077617B0-E704-4942-8B38-27031008BE01}"/>
    <hyperlink ref="A159" r:id="rId135" xr:uid="{AC1B2E54-D0A0-455D-9483-02723243EA71}"/>
    <hyperlink ref="A212" r:id="rId136" xr:uid="{58E88E09-6A6F-4759-A234-544AAB1CCA75}"/>
    <hyperlink ref="A137" r:id="rId137" xr:uid="{D9ACDAF9-12A0-424F-B4AD-E98EC17BFA22}"/>
    <hyperlink ref="A55" r:id="rId138" xr:uid="{B1187FF4-CB7D-4EBA-8DAE-B7EC195CB2FC}"/>
    <hyperlink ref="A43" r:id="rId139" xr:uid="{F8D41E8E-066F-4587-BF9D-A75D8C665C83}"/>
    <hyperlink ref="A180" r:id="rId140" xr:uid="{08372117-4665-4407-97AF-3E5CFCC00964}"/>
    <hyperlink ref="A123" r:id="rId141" xr:uid="{4AC766FF-5A62-4F30-A3DA-734040ABBCE5}"/>
    <hyperlink ref="A127" r:id="rId142" xr:uid="{EA766345-E94A-4755-834B-C707B8054938}"/>
    <hyperlink ref="A202" r:id="rId143" xr:uid="{31FC5101-E18F-45AF-AEED-DFC97BF1863C}"/>
    <hyperlink ref="A141" r:id="rId144" xr:uid="{B31862A3-353C-4C1E-BCE0-E5210F09D0A3}"/>
    <hyperlink ref="A124" r:id="rId145" xr:uid="{E466269C-C65C-43E7-BEC3-38111751A83E}"/>
    <hyperlink ref="A36" r:id="rId146" xr:uid="{BB801DA4-B212-484B-A25E-6B77615BC18F}"/>
    <hyperlink ref="A224" r:id="rId147" xr:uid="{D0019F0F-7E52-4F4B-9715-A4EB086DEE7C}"/>
    <hyperlink ref="A192" r:id="rId148" xr:uid="{DCEF5319-4C3F-42CC-B5F2-B6A8FAFAB857}"/>
    <hyperlink ref="A189" r:id="rId149" xr:uid="{9B91DAF0-CBA2-4850-8C33-D04A166226BD}"/>
    <hyperlink ref="A44" r:id="rId150" xr:uid="{F6D712F6-21C2-44A8-9CED-D7E531CF3BEA}"/>
    <hyperlink ref="A45" r:id="rId151" xr:uid="{71588A43-3956-4F58-B667-90D873AE7D41}"/>
    <hyperlink ref="A102" r:id="rId152" xr:uid="{6A5F2D3F-3496-45C3-B077-67777C1F761D}"/>
    <hyperlink ref="A203" r:id="rId153" xr:uid="{E42B960D-92C3-4165-8464-0CAA5DCA9A99}"/>
    <hyperlink ref="A213" r:id="rId154" xr:uid="{D1B58846-E403-4BCA-B6A5-11FE4EA2E8A7}"/>
    <hyperlink ref="A205" r:id="rId155" xr:uid="{A10EC573-CE3B-438A-9413-917E27463554}"/>
    <hyperlink ref="A223" r:id="rId156" xr:uid="{6BE433D1-FC2B-40BD-88E5-FA78BCCF826A}"/>
    <hyperlink ref="A161" r:id="rId157" xr:uid="{DB0C634D-120B-4432-A532-1621E8B62B7B}"/>
    <hyperlink ref="A151" r:id="rId158" xr:uid="{C9FE58F4-590D-454B-9692-8F3A1444F262}"/>
    <hyperlink ref="A85" r:id="rId159" xr:uid="{06FDDFDC-DCC0-488B-BDB1-E14D3D6F7658}"/>
    <hyperlink ref="A80" r:id="rId160" xr:uid="{939A996F-256A-450A-AC4F-3B8B07D0B5BB}"/>
    <hyperlink ref="A78" r:id="rId161" xr:uid="{35B056A8-9055-4C58-B9EE-BB1680CB47C5}"/>
    <hyperlink ref="A100" r:id="rId162" xr:uid="{85A02BBF-1CB6-4B8F-8EB4-0463F5129AB6}"/>
    <hyperlink ref="A7" r:id="rId163" xr:uid="{611741F4-FE76-4534-920C-97230700AA56}"/>
    <hyperlink ref="A93" r:id="rId164" xr:uid="{94E40556-51D5-43D1-8F3A-E148583A2D44}"/>
    <hyperlink ref="A106" r:id="rId165" xr:uid="{F87DFE86-37AE-4862-BC64-6892389F1031}"/>
    <hyperlink ref="A97" r:id="rId166" xr:uid="{3450BC82-FBE4-4FD9-83B3-1D199150EEC4}"/>
    <hyperlink ref="A2" r:id="rId167" xr:uid="{E0DE81ED-9FCB-4D3F-B4E1-D34D09980519}"/>
    <hyperlink ref="A170" r:id="rId168" xr:uid="{386C273E-DAA6-4F48-96E1-2AE772827134}"/>
    <hyperlink ref="A15" r:id="rId169" xr:uid="{5573743C-3691-4A6F-9A22-2A8D13075CD4}"/>
    <hyperlink ref="A215" r:id="rId170" xr:uid="{922746B1-832D-41C0-9751-F9DD106BB873}"/>
    <hyperlink ref="A206" r:id="rId171" xr:uid="{355D61A6-214C-4D45-A718-A27459F8DD58}"/>
    <hyperlink ref="A194" r:id="rId172" xr:uid="{EFEBCFA5-BC14-4684-A624-EE25EED5768E}"/>
    <hyperlink ref="A56" r:id="rId173" xr:uid="{17401BCB-9A44-4C39-84FF-FCDA47C630F2}"/>
    <hyperlink ref="A69" r:id="rId174" xr:uid="{21DE528D-56E7-4131-99A7-7F0344EF0CC4}"/>
    <hyperlink ref="A52" r:id="rId175" xr:uid="{62068CE1-A1D0-46FD-80A9-BC5C7198EC95}"/>
    <hyperlink ref="A187" r:id="rId176" display="mailto:sandra@rudelwohl-zach.de" xr:uid="{08FC4443-BD42-47D1-8E78-022B8CA4451C}"/>
    <hyperlink ref="A108" r:id="rId177" xr:uid="{A0189BE9-2E5A-4792-8299-69ACD38862EF}"/>
    <hyperlink ref="A183" r:id="rId178" xr:uid="{64327141-5124-4FED-999A-83799C95A6DA}"/>
    <hyperlink ref="A117" r:id="rId179" xr:uid="{93789079-D141-4185-A5D7-71B2E21C5A78}"/>
    <hyperlink ref="A71" r:id="rId180" xr:uid="{BCBCD1FA-17B1-4D65-BAE6-88F78DB427D8}"/>
    <hyperlink ref="A176" r:id="rId181" xr:uid="{D9BF7525-628E-4FB6-8BED-20915C4D219E}"/>
    <hyperlink ref="A30" r:id="rId182" xr:uid="{4E8FD95D-99BB-4951-82CB-30569F507DF1}"/>
    <hyperlink ref="A81" r:id="rId183" display="mailto:gmmanzi@aol.com" xr:uid="{0AA817A9-8858-4A59-80E2-C4880A7F9C32}"/>
    <hyperlink ref="A112" r:id="rId184" xr:uid="{D38DC255-CCC8-471F-B980-A18AEFDDF96C}"/>
    <hyperlink ref="A143" r:id="rId185" xr:uid="{04602CCD-CB38-4A99-B249-700C07FCAE55}"/>
    <hyperlink ref="A65" r:id="rId186" xr:uid="{A6E631F4-F50E-4C26-8152-D077589AD79C}"/>
    <hyperlink ref="A13" r:id="rId187" xr:uid="{22D8E5F6-45F7-48FA-A1F2-DCF71DDF4D94}"/>
    <hyperlink ref="A197" r:id="rId188" xr:uid="{EB690370-3D77-4C52-90CA-EF2EE265E237}"/>
    <hyperlink ref="A171" r:id="rId189" xr:uid="{4EEFB6CD-08D3-4B89-A3AB-21C840DD2AC9}"/>
    <hyperlink ref="A73" r:id="rId190" xr:uid="{F00E1638-FCC2-404A-8AF4-4A6506FD22FD}"/>
    <hyperlink ref="A210" r:id="rId191" xr:uid="{2622D647-8F98-4202-A84D-48EA5730611E}"/>
    <hyperlink ref="A139" r:id="rId192" xr:uid="{ED2081DD-2459-4016-B61A-89E48EEA7CFE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9A000D-3288-44B8-B670-4C6E43ABEF14}">
  <dimension ref="A1:Z673"/>
  <sheetViews>
    <sheetView topLeftCell="B155" workbookViewId="0">
      <selection activeCell="R155" sqref="R155"/>
    </sheetView>
  </sheetViews>
  <sheetFormatPr baseColWidth="10" defaultColWidth="12.21875" defaultRowHeight="10.199999999999999"/>
  <cols>
    <col min="1" max="2" width="14" style="139" customWidth="1"/>
    <col min="3" max="3" width="11.21875" style="154" customWidth="1"/>
    <col min="4" max="4" width="13.33203125" style="154" customWidth="1"/>
    <col min="5" max="5" width="20.21875" style="139" customWidth="1"/>
    <col min="6" max="6" width="7.21875" style="139" hidden="1" customWidth="1"/>
    <col min="7" max="7" width="7.21875" style="140" customWidth="1"/>
    <col min="8" max="8" width="22.5546875" style="139" bestFit="1" customWidth="1"/>
    <col min="9" max="9" width="8" style="139" customWidth="1"/>
    <col min="10" max="10" width="5.77734375" style="139" customWidth="1"/>
    <col min="11" max="11" width="13.77734375" style="139" customWidth="1"/>
    <col min="12" max="12" width="21.109375" style="139" customWidth="1"/>
    <col min="13" max="13" width="7.44140625" style="139" hidden="1" customWidth="1"/>
    <col min="14" max="14" width="24.6640625" style="139" customWidth="1"/>
    <col min="15" max="15" width="8.44140625" style="139" customWidth="1"/>
    <col min="16" max="16" width="12.21875" style="139" hidden="1" customWidth="1"/>
    <col min="17" max="17" width="29.44140625" style="139" customWidth="1"/>
    <col min="18" max="18" width="3.77734375" style="140" bestFit="1" customWidth="1"/>
    <col min="19" max="19" width="6.6640625" style="140" customWidth="1"/>
    <col min="20" max="20" width="3.21875" style="140" customWidth="1"/>
    <col min="21" max="21" width="18.109375" style="139" bestFit="1" customWidth="1"/>
    <col min="22" max="22" width="22.21875" style="139" bestFit="1" customWidth="1"/>
    <col min="23" max="16384" width="12.21875" style="139"/>
  </cols>
  <sheetData>
    <row r="1" spans="1:26">
      <c r="A1" s="136" t="s">
        <v>0</v>
      </c>
      <c r="B1" s="136" t="s">
        <v>1</v>
      </c>
      <c r="C1" s="137" t="s">
        <v>370</v>
      </c>
      <c r="D1" s="137" t="s">
        <v>371</v>
      </c>
      <c r="E1" s="136" t="s">
        <v>2</v>
      </c>
      <c r="F1" s="136" t="s">
        <v>3</v>
      </c>
      <c r="G1" s="138" t="s">
        <v>4</v>
      </c>
      <c r="H1" s="136" t="s">
        <v>16</v>
      </c>
      <c r="I1" s="136" t="s">
        <v>5</v>
      </c>
      <c r="J1" s="136" t="s">
        <v>6</v>
      </c>
      <c r="K1" s="136" t="s">
        <v>7</v>
      </c>
      <c r="L1" s="136" t="s">
        <v>21</v>
      </c>
      <c r="M1" s="136" t="s">
        <v>8</v>
      </c>
      <c r="N1" s="136" t="s">
        <v>9</v>
      </c>
      <c r="O1" s="136" t="s">
        <v>418</v>
      </c>
      <c r="P1" s="136" t="s">
        <v>38</v>
      </c>
      <c r="Q1" s="139" t="s">
        <v>67</v>
      </c>
      <c r="R1" s="140" t="s">
        <v>417</v>
      </c>
      <c r="S1" s="138" t="s">
        <v>416</v>
      </c>
      <c r="T1" s="138" t="s">
        <v>105</v>
      </c>
      <c r="U1" s="136" t="s">
        <v>231</v>
      </c>
      <c r="V1" s="139" t="s">
        <v>836</v>
      </c>
      <c r="W1" s="139" t="s">
        <v>835</v>
      </c>
      <c r="X1" s="139" t="s">
        <v>869</v>
      </c>
    </row>
    <row r="2" spans="1:26" ht="1.2" customHeight="1">
      <c r="A2" s="115" t="s">
        <v>2406</v>
      </c>
      <c r="B2" s="115" t="s">
        <v>2407</v>
      </c>
      <c r="C2" s="116">
        <v>44086</v>
      </c>
      <c r="D2" s="116">
        <v>44100</v>
      </c>
      <c r="E2" s="115" t="s">
        <v>2408</v>
      </c>
      <c r="F2" s="115"/>
      <c r="G2" s="361" t="s">
        <v>2409</v>
      </c>
      <c r="H2" s="115" t="s">
        <v>2410</v>
      </c>
      <c r="I2" s="115" t="s">
        <v>2411</v>
      </c>
      <c r="J2" s="115" t="s">
        <v>51</v>
      </c>
      <c r="K2" s="115" t="s">
        <v>2412</v>
      </c>
      <c r="L2" s="115" t="s">
        <v>2413</v>
      </c>
      <c r="M2" s="115"/>
      <c r="N2" s="121" t="s">
        <v>2414</v>
      </c>
      <c r="O2" s="118">
        <f>1590+1290</f>
        <v>2880</v>
      </c>
      <c r="P2" s="115"/>
      <c r="Q2" s="115" t="s">
        <v>2415</v>
      </c>
      <c r="R2" s="682">
        <v>2</v>
      </c>
      <c r="S2" s="361" t="s">
        <v>674</v>
      </c>
      <c r="T2" s="361">
        <v>3</v>
      </c>
      <c r="U2" s="129">
        <v>720</v>
      </c>
      <c r="V2" s="120">
        <v>43809</v>
      </c>
      <c r="W2" s="115" t="s">
        <v>1477</v>
      </c>
      <c r="X2" s="115" t="s">
        <v>1154</v>
      </c>
      <c r="Y2" s="115"/>
      <c r="Z2" s="115"/>
    </row>
    <row r="3" spans="1:26">
      <c r="A3" s="143" t="s">
        <v>372</v>
      </c>
      <c r="B3" s="143"/>
      <c r="C3" s="144">
        <v>39606</v>
      </c>
      <c r="D3" s="144">
        <v>39613</v>
      </c>
      <c r="E3" s="143" t="s">
        <v>373</v>
      </c>
      <c r="F3" s="143"/>
      <c r="G3" s="145" t="s">
        <v>374</v>
      </c>
      <c r="H3" s="143"/>
      <c r="I3" s="143" t="s">
        <v>18</v>
      </c>
      <c r="J3" s="143" t="s">
        <v>51</v>
      </c>
      <c r="K3" s="143"/>
      <c r="L3" s="143" t="s">
        <v>375</v>
      </c>
      <c r="M3" s="143"/>
      <c r="N3" s="151" t="s">
        <v>376</v>
      </c>
      <c r="O3" s="148">
        <v>900</v>
      </c>
      <c r="P3" s="143"/>
      <c r="Q3" s="143"/>
      <c r="R3" s="145">
        <v>1</v>
      </c>
      <c r="S3" s="145">
        <v>2</v>
      </c>
      <c r="T3" s="145">
        <v>1</v>
      </c>
      <c r="U3" s="581">
        <v>225</v>
      </c>
      <c r="V3" s="143"/>
      <c r="W3" s="143"/>
      <c r="X3" s="143"/>
      <c r="Y3" s="143"/>
      <c r="Z3" s="143"/>
    </row>
    <row r="4" spans="1:26" hidden="1">
      <c r="A4" s="136"/>
      <c r="B4" s="136"/>
      <c r="C4" s="137"/>
      <c r="D4" s="137"/>
      <c r="E4" s="136"/>
      <c r="F4" s="136"/>
      <c r="G4" s="138"/>
      <c r="H4" s="136"/>
      <c r="I4" s="136"/>
      <c r="J4" s="136"/>
      <c r="K4" s="136"/>
      <c r="L4" s="136"/>
      <c r="M4" s="136"/>
      <c r="N4" s="136"/>
      <c r="O4" s="136"/>
      <c r="P4" s="136"/>
      <c r="S4" s="138"/>
      <c r="T4" s="138"/>
      <c r="U4" s="136"/>
    </row>
    <row r="5" spans="1:26" s="143" customFormat="1" ht="20.399999999999999">
      <c r="A5" s="142" t="s">
        <v>405</v>
      </c>
      <c r="B5" s="143" t="s">
        <v>406</v>
      </c>
      <c r="C5" s="144">
        <v>39620</v>
      </c>
      <c r="D5" s="144">
        <v>39627</v>
      </c>
      <c r="E5" s="143" t="s">
        <v>407</v>
      </c>
      <c r="G5" s="145">
        <v>35435</v>
      </c>
      <c r="H5" s="143" t="s">
        <v>408</v>
      </c>
      <c r="I5" s="143" t="s">
        <v>18</v>
      </c>
      <c r="J5" s="143" t="s">
        <v>51</v>
      </c>
      <c r="L5" s="152" t="s">
        <v>410</v>
      </c>
      <c r="N5" s="151" t="s">
        <v>409</v>
      </c>
      <c r="O5" s="148">
        <v>1000</v>
      </c>
      <c r="R5" s="145">
        <v>1</v>
      </c>
      <c r="S5" s="145">
        <v>3</v>
      </c>
      <c r="T5" s="145"/>
      <c r="U5" s="149">
        <v>250</v>
      </c>
    </row>
    <row r="6" spans="1:26" s="143" customFormat="1">
      <c r="A6" s="143" t="s">
        <v>395</v>
      </c>
      <c r="B6" s="143" t="s">
        <v>396</v>
      </c>
      <c r="C6" s="144">
        <v>39704</v>
      </c>
      <c r="D6" s="144">
        <v>39718</v>
      </c>
      <c r="E6" s="143" t="s">
        <v>397</v>
      </c>
      <c r="G6" s="145">
        <v>37269</v>
      </c>
      <c r="H6" s="143" t="s">
        <v>398</v>
      </c>
      <c r="I6" s="143" t="s">
        <v>18</v>
      </c>
      <c r="J6" s="143" t="s">
        <v>51</v>
      </c>
      <c r="K6" s="143" t="s">
        <v>399</v>
      </c>
      <c r="L6" s="143" t="s">
        <v>400</v>
      </c>
      <c r="N6" s="151" t="s">
        <v>401</v>
      </c>
      <c r="O6" s="148">
        <v>2270</v>
      </c>
      <c r="R6" s="145">
        <v>2</v>
      </c>
      <c r="S6" s="145">
        <v>2</v>
      </c>
      <c r="T6" s="145">
        <v>1</v>
      </c>
      <c r="U6" s="149">
        <v>550</v>
      </c>
    </row>
    <row r="7" spans="1:26" s="143" customFormat="1">
      <c r="A7" s="143" t="s">
        <v>444</v>
      </c>
      <c r="B7" s="143" t="s">
        <v>256</v>
      </c>
      <c r="C7" s="144">
        <v>39724</v>
      </c>
      <c r="D7" s="144">
        <v>39738</v>
      </c>
      <c r="G7" s="145"/>
      <c r="I7" s="143" t="s">
        <v>18</v>
      </c>
      <c r="J7" s="143" t="s">
        <v>19</v>
      </c>
      <c r="N7" s="147"/>
      <c r="O7" s="148">
        <v>1642</v>
      </c>
      <c r="R7" s="145">
        <v>2</v>
      </c>
      <c r="S7" s="145">
        <v>5</v>
      </c>
      <c r="T7" s="145">
        <v>1</v>
      </c>
      <c r="U7" s="149">
        <v>400</v>
      </c>
    </row>
    <row r="8" spans="1:26" s="143" customFormat="1" ht="13.2">
      <c r="A8" s="143" t="s">
        <v>515</v>
      </c>
      <c r="B8" s="143" t="s">
        <v>516</v>
      </c>
      <c r="C8" s="144">
        <v>39963</v>
      </c>
      <c r="D8" s="144">
        <v>39991</v>
      </c>
      <c r="G8" s="145"/>
      <c r="I8" s="143" t="s">
        <v>18</v>
      </c>
      <c r="J8" s="143" t="s">
        <v>19</v>
      </c>
      <c r="K8" s="175" t="s">
        <v>518</v>
      </c>
      <c r="L8" s="173"/>
      <c r="N8" s="147" t="s">
        <v>514</v>
      </c>
      <c r="O8" s="148">
        <v>2800</v>
      </c>
      <c r="Q8" s="143" t="s">
        <v>517</v>
      </c>
      <c r="R8" s="145">
        <v>3</v>
      </c>
      <c r="S8" s="145">
        <v>3</v>
      </c>
      <c r="T8" s="145"/>
      <c r="U8" s="174">
        <v>700</v>
      </c>
    </row>
    <row r="9" spans="1:26" s="143" customFormat="1">
      <c r="A9" s="142" t="s">
        <v>446</v>
      </c>
      <c r="B9" s="143" t="s">
        <v>447</v>
      </c>
      <c r="C9" s="144">
        <v>39970</v>
      </c>
      <c r="D9" s="144">
        <v>39977</v>
      </c>
      <c r="E9" s="143" t="s">
        <v>452</v>
      </c>
      <c r="G9" s="145">
        <v>76228</v>
      </c>
      <c r="H9" s="143" t="s">
        <v>451</v>
      </c>
      <c r="I9" s="143" t="s">
        <v>18</v>
      </c>
      <c r="J9" s="143" t="s">
        <v>51</v>
      </c>
      <c r="L9" s="173" t="s">
        <v>449</v>
      </c>
      <c r="N9" s="147" t="s">
        <v>448</v>
      </c>
      <c r="O9" s="148">
        <v>970</v>
      </c>
      <c r="Q9" s="143" t="s">
        <v>450</v>
      </c>
      <c r="R9" s="145">
        <v>1</v>
      </c>
      <c r="S9" s="145">
        <v>3</v>
      </c>
      <c r="T9" s="145">
        <v>1</v>
      </c>
      <c r="U9" s="174">
        <v>225</v>
      </c>
    </row>
    <row r="10" spans="1:26" s="143" customFormat="1" ht="24.6" customHeight="1">
      <c r="A10" s="142" t="s">
        <v>500</v>
      </c>
      <c r="B10" s="143" t="s">
        <v>501</v>
      </c>
      <c r="C10" s="144">
        <v>39991</v>
      </c>
      <c r="D10" s="144">
        <v>40005</v>
      </c>
      <c r="G10" s="145"/>
      <c r="I10" s="143" t="s">
        <v>18</v>
      </c>
      <c r="J10" s="143" t="s">
        <v>51</v>
      </c>
      <c r="L10" s="143" t="s">
        <v>533</v>
      </c>
      <c r="N10" s="147" t="s">
        <v>502</v>
      </c>
      <c r="O10" s="148">
        <v>2600</v>
      </c>
      <c r="Q10" s="143" t="s">
        <v>503</v>
      </c>
      <c r="R10" s="145">
        <v>2</v>
      </c>
      <c r="S10" s="145">
        <v>5</v>
      </c>
      <c r="T10" s="145"/>
      <c r="U10" s="174">
        <v>650</v>
      </c>
    </row>
    <row r="11" spans="1:26" s="143" customFormat="1">
      <c r="A11" s="176" t="s">
        <v>493</v>
      </c>
      <c r="B11" s="177" t="s">
        <v>494</v>
      </c>
      <c r="C11" s="178">
        <v>40012</v>
      </c>
      <c r="D11" s="178">
        <v>40026</v>
      </c>
      <c r="E11" s="177" t="s">
        <v>496</v>
      </c>
      <c r="F11" s="177"/>
      <c r="G11" s="179">
        <v>26831</v>
      </c>
      <c r="H11" s="177" t="s">
        <v>497</v>
      </c>
      <c r="I11" s="177" t="s">
        <v>18</v>
      </c>
      <c r="J11" s="177" t="s">
        <v>51</v>
      </c>
      <c r="K11" s="177" t="s">
        <v>498</v>
      </c>
      <c r="L11" s="180"/>
      <c r="M11" s="177"/>
      <c r="N11" s="181" t="s">
        <v>495</v>
      </c>
      <c r="O11" s="182">
        <v>750</v>
      </c>
      <c r="P11" s="177"/>
      <c r="Q11" s="177" t="s">
        <v>499</v>
      </c>
      <c r="R11" s="179">
        <v>0</v>
      </c>
      <c r="S11" s="179">
        <v>8</v>
      </c>
      <c r="T11" s="179"/>
      <c r="U11" s="174">
        <v>750</v>
      </c>
      <c r="V11" s="177"/>
      <c r="W11" s="177"/>
      <c r="X11" s="177"/>
      <c r="Y11" s="177"/>
      <c r="Z11" s="177"/>
    </row>
    <row r="12" spans="1:26" s="143" customFormat="1">
      <c r="A12" s="142" t="s">
        <v>548</v>
      </c>
      <c r="B12" s="143" t="s">
        <v>549</v>
      </c>
      <c r="C12" s="144">
        <v>40012</v>
      </c>
      <c r="D12" s="144">
        <v>40026</v>
      </c>
      <c r="E12" s="143" t="s">
        <v>550</v>
      </c>
      <c r="G12" s="145">
        <v>60431</v>
      </c>
      <c r="H12" s="143" t="s">
        <v>551</v>
      </c>
      <c r="I12" s="143" t="s">
        <v>18</v>
      </c>
      <c r="J12" s="143" t="s">
        <v>51</v>
      </c>
      <c r="K12" s="143" t="s">
        <v>552</v>
      </c>
      <c r="L12" s="143" t="s">
        <v>553</v>
      </c>
      <c r="N12" s="147" t="s">
        <v>554</v>
      </c>
      <c r="O12" s="148">
        <v>2645</v>
      </c>
      <c r="Q12" s="143" t="s">
        <v>534</v>
      </c>
      <c r="R12" s="145">
        <v>2</v>
      </c>
      <c r="S12" s="145">
        <v>5</v>
      </c>
      <c r="T12" s="145"/>
      <c r="U12" s="174">
        <v>645</v>
      </c>
    </row>
    <row r="13" spans="1:26" s="143" customFormat="1">
      <c r="A13" s="143" t="s">
        <v>477</v>
      </c>
      <c r="B13" s="143" t="s">
        <v>484</v>
      </c>
      <c r="C13" s="144">
        <v>40026</v>
      </c>
      <c r="D13" s="144">
        <v>40040</v>
      </c>
      <c r="E13" s="143" t="s">
        <v>478</v>
      </c>
      <c r="G13" s="145">
        <v>81245</v>
      </c>
      <c r="H13" s="143" t="s">
        <v>479</v>
      </c>
      <c r="I13" s="143" t="s">
        <v>18</v>
      </c>
      <c r="J13" s="143" t="s">
        <v>19</v>
      </c>
      <c r="K13" s="143" t="s">
        <v>481</v>
      </c>
      <c r="L13" s="173" t="s">
        <v>480</v>
      </c>
      <c r="N13" s="147" t="s">
        <v>482</v>
      </c>
      <c r="O13" s="148">
        <v>3070</v>
      </c>
      <c r="Q13" s="143" t="s">
        <v>483</v>
      </c>
      <c r="R13" s="145">
        <v>2</v>
      </c>
      <c r="S13" s="145">
        <v>6</v>
      </c>
      <c r="T13" s="145"/>
      <c r="U13" s="174">
        <v>750</v>
      </c>
    </row>
    <row r="14" spans="1:26" s="143" customFormat="1">
      <c r="A14" s="142" t="s">
        <v>555</v>
      </c>
      <c r="B14" s="143" t="s">
        <v>556</v>
      </c>
      <c r="C14" s="144">
        <v>40054</v>
      </c>
      <c r="D14" s="144">
        <v>40061</v>
      </c>
      <c r="E14" s="143" t="s">
        <v>557</v>
      </c>
      <c r="G14" s="145">
        <v>30171</v>
      </c>
      <c r="H14" s="143" t="s">
        <v>558</v>
      </c>
      <c r="I14" s="143" t="s">
        <v>18</v>
      </c>
      <c r="J14" s="143" t="s">
        <v>51</v>
      </c>
      <c r="L14" s="173" t="s">
        <v>559</v>
      </c>
      <c r="N14" s="147" t="s">
        <v>469</v>
      </c>
      <c r="O14" s="148">
        <v>1000</v>
      </c>
      <c r="Q14" s="143">
        <v>2</v>
      </c>
      <c r="R14" s="145">
        <v>1</v>
      </c>
      <c r="S14" s="145">
        <v>2</v>
      </c>
      <c r="T14" s="145"/>
      <c r="U14" s="174">
        <v>250</v>
      </c>
    </row>
    <row r="15" spans="1:26" s="143" customFormat="1">
      <c r="A15" s="143" t="s">
        <v>527</v>
      </c>
      <c r="B15" s="143" t="s">
        <v>528</v>
      </c>
      <c r="C15" s="144">
        <v>40061</v>
      </c>
      <c r="D15" s="144">
        <v>40068</v>
      </c>
      <c r="E15" s="143" t="s">
        <v>529</v>
      </c>
      <c r="G15" s="145">
        <v>54595</v>
      </c>
      <c r="H15" s="143" t="s">
        <v>530</v>
      </c>
      <c r="I15" s="143" t="s">
        <v>18</v>
      </c>
      <c r="J15" s="143" t="s">
        <v>19</v>
      </c>
      <c r="L15" s="173" t="s">
        <v>531</v>
      </c>
      <c r="N15" s="147" t="s">
        <v>532</v>
      </c>
      <c r="O15" s="148">
        <f>1100+42+70</f>
        <v>1212</v>
      </c>
      <c r="Q15" s="143">
        <v>4</v>
      </c>
      <c r="R15" s="145">
        <v>1</v>
      </c>
      <c r="S15" s="145">
        <v>4</v>
      </c>
      <c r="T15" s="145">
        <v>2</v>
      </c>
      <c r="U15" s="174">
        <v>275</v>
      </c>
    </row>
    <row r="16" spans="1:26" s="143" customFormat="1">
      <c r="A16" s="142" t="s">
        <v>510</v>
      </c>
      <c r="B16" s="143" t="s">
        <v>511</v>
      </c>
      <c r="C16" s="144">
        <v>40069</v>
      </c>
      <c r="D16" s="144">
        <v>40083</v>
      </c>
      <c r="G16" s="145"/>
      <c r="I16" s="143" t="s">
        <v>18</v>
      </c>
      <c r="J16" s="143" t="s">
        <v>51</v>
      </c>
      <c r="L16" s="173"/>
      <c r="N16" s="147"/>
      <c r="O16" s="148">
        <v>2112</v>
      </c>
      <c r="Q16" s="143" t="s">
        <v>512</v>
      </c>
      <c r="R16" s="145">
        <v>2</v>
      </c>
      <c r="S16" s="145">
        <v>2</v>
      </c>
      <c r="T16" s="145">
        <v>1</v>
      </c>
      <c r="U16" s="174">
        <v>500</v>
      </c>
    </row>
    <row r="17" spans="1:26" s="143" customFormat="1">
      <c r="A17" s="142" t="s">
        <v>560</v>
      </c>
      <c r="B17" s="143" t="s">
        <v>561</v>
      </c>
      <c r="C17" s="144">
        <v>40096</v>
      </c>
      <c r="D17" s="144">
        <v>40110</v>
      </c>
      <c r="E17" s="143" t="s">
        <v>562</v>
      </c>
      <c r="G17" s="145">
        <v>41466</v>
      </c>
      <c r="H17" s="143" t="s">
        <v>187</v>
      </c>
      <c r="I17" s="143" t="s">
        <v>18</v>
      </c>
      <c r="J17" s="143" t="s">
        <v>51</v>
      </c>
      <c r="K17" s="143" t="s">
        <v>563</v>
      </c>
      <c r="L17" s="173"/>
      <c r="N17" s="147" t="s">
        <v>565</v>
      </c>
      <c r="O17" s="148">
        <v>1580</v>
      </c>
      <c r="Q17" s="143" t="s">
        <v>564</v>
      </c>
      <c r="R17" s="145">
        <v>2</v>
      </c>
      <c r="S17" s="145">
        <v>5</v>
      </c>
      <c r="T17" s="145">
        <v>1</v>
      </c>
      <c r="U17" s="174">
        <f>1580/4</f>
        <v>395</v>
      </c>
    </row>
    <row r="18" spans="1:26" s="143" customFormat="1">
      <c r="A18" s="142" t="s">
        <v>613</v>
      </c>
      <c r="B18" s="143" t="s">
        <v>614</v>
      </c>
      <c r="C18" s="144">
        <v>40264</v>
      </c>
      <c r="D18" s="144">
        <v>40271</v>
      </c>
      <c r="E18" s="143" t="s">
        <v>616</v>
      </c>
      <c r="G18" s="145" t="s">
        <v>618</v>
      </c>
      <c r="H18" s="143" t="s">
        <v>617</v>
      </c>
      <c r="I18" s="143" t="s">
        <v>18</v>
      </c>
      <c r="J18" s="143" t="s">
        <v>51</v>
      </c>
      <c r="K18" s="143" t="s">
        <v>619</v>
      </c>
      <c r="L18" s="173"/>
      <c r="N18" s="147" t="s">
        <v>615</v>
      </c>
      <c r="O18" s="148">
        <f>800+70+21</f>
        <v>891</v>
      </c>
      <c r="Q18" s="143" t="s">
        <v>600</v>
      </c>
      <c r="R18" s="145">
        <v>1</v>
      </c>
      <c r="S18" s="145">
        <v>4</v>
      </c>
      <c r="T18" s="145">
        <v>1</v>
      </c>
      <c r="U18" s="202">
        <f>200</f>
        <v>200</v>
      </c>
    </row>
    <row r="19" spans="1:26" s="143" customFormat="1">
      <c r="A19" s="142" t="s">
        <v>595</v>
      </c>
      <c r="B19" s="143" t="s">
        <v>596</v>
      </c>
      <c r="C19" s="144">
        <v>40306</v>
      </c>
      <c r="D19" s="144">
        <v>40320</v>
      </c>
      <c r="G19" s="145"/>
      <c r="I19" s="143" t="s">
        <v>18</v>
      </c>
      <c r="J19" s="143" t="s">
        <v>51</v>
      </c>
      <c r="K19" s="143" t="s">
        <v>597</v>
      </c>
      <c r="L19" s="173"/>
      <c r="N19" s="151" t="s">
        <v>598</v>
      </c>
      <c r="O19" s="148">
        <f>1580+70+84</f>
        <v>1734</v>
      </c>
      <c r="Q19" s="143" t="s">
        <v>599</v>
      </c>
      <c r="R19" s="145">
        <v>2</v>
      </c>
      <c r="S19" s="145">
        <v>3</v>
      </c>
      <c r="T19" s="145">
        <v>2</v>
      </c>
      <c r="U19" s="203">
        <v>395</v>
      </c>
    </row>
    <row r="20" spans="1:26" ht="10.8" thickBot="1">
      <c r="A20" s="142" t="s">
        <v>644</v>
      </c>
      <c r="B20" s="143" t="s">
        <v>396</v>
      </c>
      <c r="C20" s="144">
        <v>40334</v>
      </c>
      <c r="D20" s="144">
        <v>40348</v>
      </c>
      <c r="E20" s="143" t="s">
        <v>645</v>
      </c>
      <c r="F20" s="143"/>
      <c r="G20" s="145" t="s">
        <v>646</v>
      </c>
      <c r="H20" s="143" t="s">
        <v>647</v>
      </c>
      <c r="I20" s="143" t="s">
        <v>18</v>
      </c>
      <c r="J20" s="143" t="s">
        <v>51</v>
      </c>
      <c r="K20" s="143" t="s">
        <v>648</v>
      </c>
      <c r="L20" s="143" t="s">
        <v>649</v>
      </c>
      <c r="M20" s="143"/>
      <c r="N20" s="151"/>
      <c r="O20" s="204">
        <f>1700+70+60</f>
        <v>1830</v>
      </c>
      <c r="P20" s="143"/>
      <c r="Q20" s="173" t="s">
        <v>599</v>
      </c>
      <c r="R20" s="145">
        <v>2</v>
      </c>
      <c r="S20" s="145">
        <v>2</v>
      </c>
      <c r="T20" s="145"/>
      <c r="U20" s="205">
        <v>425</v>
      </c>
      <c r="V20" s="143"/>
      <c r="W20" s="143"/>
      <c r="X20" s="143"/>
      <c r="Y20" s="143"/>
      <c r="Z20" s="143"/>
    </row>
    <row r="21" spans="1:26" ht="10.8" thickBot="1">
      <c r="A21" s="167" t="s">
        <v>651</v>
      </c>
      <c r="B21" s="534" t="s">
        <v>652</v>
      </c>
      <c r="C21" s="144">
        <v>40348</v>
      </c>
      <c r="D21" s="144">
        <v>40355</v>
      </c>
      <c r="E21" s="143" t="s">
        <v>653</v>
      </c>
      <c r="F21" s="143"/>
      <c r="G21" s="145" t="s">
        <v>654</v>
      </c>
      <c r="H21" s="143" t="s">
        <v>655</v>
      </c>
      <c r="I21" s="143" t="s">
        <v>18</v>
      </c>
      <c r="J21" s="143" t="s">
        <v>19</v>
      </c>
      <c r="K21" s="143"/>
      <c r="L21" s="143" t="s">
        <v>656</v>
      </c>
      <c r="M21" s="143"/>
      <c r="N21" s="147" t="s">
        <v>657</v>
      </c>
      <c r="O21" s="204">
        <f>950+70</f>
        <v>1020</v>
      </c>
      <c r="P21" s="143"/>
      <c r="Q21" s="173"/>
      <c r="R21" s="145">
        <v>1</v>
      </c>
      <c r="S21" s="145">
        <v>4</v>
      </c>
      <c r="T21" s="145" t="s">
        <v>658</v>
      </c>
      <c r="U21" s="205">
        <v>237.5</v>
      </c>
      <c r="V21" s="143"/>
      <c r="W21" s="143"/>
      <c r="X21" s="143"/>
      <c r="Y21" s="143"/>
      <c r="Z21" s="143"/>
    </row>
    <row r="22" spans="1:26" ht="10.8" thickBot="1">
      <c r="A22" s="207" t="s">
        <v>581</v>
      </c>
      <c r="B22" s="529" t="s">
        <v>582</v>
      </c>
      <c r="C22" s="546">
        <v>40404</v>
      </c>
      <c r="D22" s="144">
        <v>40418</v>
      </c>
      <c r="E22" s="143"/>
      <c r="F22" s="143"/>
      <c r="G22" s="145"/>
      <c r="H22" s="143"/>
      <c r="I22" s="143" t="s">
        <v>18</v>
      </c>
      <c r="J22" s="143" t="s">
        <v>51</v>
      </c>
      <c r="K22" s="143" t="s">
        <v>583</v>
      </c>
      <c r="L22" s="173"/>
      <c r="M22" s="143"/>
      <c r="N22" s="147" t="s">
        <v>620</v>
      </c>
      <c r="O22" s="148">
        <v>3044</v>
      </c>
      <c r="P22" s="143"/>
      <c r="Q22" s="143" t="s">
        <v>584</v>
      </c>
      <c r="R22" s="145">
        <v>2</v>
      </c>
      <c r="S22" s="145">
        <v>4</v>
      </c>
      <c r="T22" s="145">
        <v>2</v>
      </c>
      <c r="U22" s="674">
        <f>O22/4</f>
        <v>761</v>
      </c>
      <c r="V22" s="143"/>
      <c r="W22" s="143"/>
      <c r="X22" s="143"/>
      <c r="Y22" s="143"/>
      <c r="Z22" s="143"/>
    </row>
    <row r="23" spans="1:26" ht="10.8" thickBot="1">
      <c r="A23" s="143" t="s">
        <v>660</v>
      </c>
      <c r="B23" s="143" t="s">
        <v>661</v>
      </c>
      <c r="C23" s="144">
        <v>40418</v>
      </c>
      <c r="D23" s="144">
        <v>40432</v>
      </c>
      <c r="E23" s="143" t="s">
        <v>662</v>
      </c>
      <c r="F23" s="143"/>
      <c r="G23" s="145" t="s">
        <v>664</v>
      </c>
      <c r="H23" s="143" t="s">
        <v>663</v>
      </c>
      <c r="I23" s="143" t="s">
        <v>18</v>
      </c>
      <c r="J23" s="143" t="s">
        <v>51</v>
      </c>
      <c r="K23" s="206" t="s">
        <v>666</v>
      </c>
      <c r="L23" s="173"/>
      <c r="M23" s="143"/>
      <c r="N23" s="147"/>
      <c r="O23" s="148">
        <f>545*4+42+70</f>
        <v>2292</v>
      </c>
      <c r="P23" s="143"/>
      <c r="Q23" s="143" t="s">
        <v>659</v>
      </c>
      <c r="R23" s="145">
        <v>2</v>
      </c>
      <c r="S23" s="145">
        <v>4</v>
      </c>
      <c r="T23" s="145">
        <v>1</v>
      </c>
      <c r="U23" s="674">
        <v>545</v>
      </c>
      <c r="V23" s="143"/>
      <c r="W23" s="143"/>
      <c r="X23" s="143"/>
      <c r="Y23" s="143"/>
      <c r="Z23" s="143"/>
    </row>
    <row r="24" spans="1:26" ht="10.8" thickBot="1">
      <c r="A24" s="508" t="s">
        <v>602</v>
      </c>
      <c r="B24" s="531" t="s">
        <v>603</v>
      </c>
      <c r="C24" s="144">
        <v>40432</v>
      </c>
      <c r="D24" s="144">
        <v>40446</v>
      </c>
      <c r="E24" s="143"/>
      <c r="F24" s="143"/>
      <c r="G24" s="145"/>
      <c r="H24" s="143"/>
      <c r="I24" s="143" t="s">
        <v>18</v>
      </c>
      <c r="J24" s="143" t="s">
        <v>51</v>
      </c>
      <c r="K24" s="143" t="s">
        <v>605</v>
      </c>
      <c r="L24" s="143" t="s">
        <v>606</v>
      </c>
      <c r="M24" s="143"/>
      <c r="N24" s="147" t="s">
        <v>607</v>
      </c>
      <c r="O24" s="204">
        <f>2400+70+2*3*14</f>
        <v>2554</v>
      </c>
      <c r="P24" s="143"/>
      <c r="Q24" s="143" t="s">
        <v>604</v>
      </c>
      <c r="R24" s="145">
        <v>2</v>
      </c>
      <c r="S24" s="145">
        <v>2</v>
      </c>
      <c r="T24" s="145">
        <v>2</v>
      </c>
      <c r="U24" s="671">
        <f>2400/4</f>
        <v>600</v>
      </c>
      <c r="V24" s="143"/>
      <c r="W24" s="143"/>
      <c r="X24" s="143"/>
      <c r="Y24" s="143"/>
      <c r="Z24" s="143"/>
    </row>
    <row r="25" spans="1:26">
      <c r="A25" s="143" t="s">
        <v>668</v>
      </c>
      <c r="B25" s="143" t="s">
        <v>256</v>
      </c>
      <c r="C25" s="144">
        <v>40542</v>
      </c>
      <c r="D25" s="144">
        <v>40551</v>
      </c>
      <c r="E25" s="143" t="s">
        <v>669</v>
      </c>
      <c r="F25" s="143"/>
      <c r="G25" s="145" t="s">
        <v>670</v>
      </c>
      <c r="H25" s="143" t="s">
        <v>671</v>
      </c>
      <c r="I25" s="143" t="s">
        <v>18</v>
      </c>
      <c r="J25" s="143" t="s">
        <v>51</v>
      </c>
      <c r="K25" s="143"/>
      <c r="L25" s="143" t="s">
        <v>672</v>
      </c>
      <c r="M25" s="143"/>
      <c r="N25" s="580" t="s">
        <v>673</v>
      </c>
      <c r="O25" s="581">
        <v>1050</v>
      </c>
      <c r="P25" s="143"/>
      <c r="Q25" s="143" t="s">
        <v>674</v>
      </c>
      <c r="R25" s="145">
        <v>1</v>
      </c>
      <c r="S25" s="145">
        <v>4</v>
      </c>
      <c r="T25" s="145">
        <v>0</v>
      </c>
      <c r="U25" s="581">
        <v>300</v>
      </c>
      <c r="V25" s="143"/>
      <c r="W25" s="143"/>
      <c r="X25" s="143"/>
      <c r="Y25" s="143"/>
      <c r="Z25" s="143"/>
    </row>
    <row r="26" spans="1:26">
      <c r="A26" s="219" t="s">
        <v>709</v>
      </c>
      <c r="B26" s="219" t="s">
        <v>710</v>
      </c>
      <c r="C26" s="220">
        <v>40635</v>
      </c>
      <c r="D26" s="220">
        <v>40642</v>
      </c>
      <c r="E26" s="219" t="s">
        <v>715</v>
      </c>
      <c r="F26" s="219"/>
      <c r="G26" s="221" t="s">
        <v>716</v>
      </c>
      <c r="H26" s="219" t="s">
        <v>714</v>
      </c>
      <c r="I26" s="219" t="s">
        <v>18</v>
      </c>
      <c r="J26" s="219" t="s">
        <v>51</v>
      </c>
      <c r="K26" s="219" t="s">
        <v>713</v>
      </c>
      <c r="L26" s="219" t="s">
        <v>712</v>
      </c>
      <c r="M26" s="219"/>
      <c r="N26" s="222" t="s">
        <v>711</v>
      </c>
      <c r="O26" s="223">
        <f>690+70+42</f>
        <v>802</v>
      </c>
      <c r="P26" s="219"/>
      <c r="Q26" s="219" t="s">
        <v>717</v>
      </c>
      <c r="R26" s="221">
        <v>1</v>
      </c>
      <c r="S26" s="221">
        <v>2</v>
      </c>
      <c r="T26" s="221">
        <v>2</v>
      </c>
      <c r="U26" s="597">
        <v>200</v>
      </c>
      <c r="V26" s="219"/>
      <c r="W26" s="219"/>
      <c r="X26" s="219"/>
      <c r="Y26" s="219"/>
      <c r="Z26" s="219"/>
    </row>
    <row r="27" spans="1:26">
      <c r="A27" s="225" t="s">
        <v>681</v>
      </c>
      <c r="B27" s="225" t="s">
        <v>682</v>
      </c>
      <c r="C27" s="226">
        <v>40705</v>
      </c>
      <c r="D27" s="226">
        <v>40719</v>
      </c>
      <c r="E27" s="225" t="s">
        <v>678</v>
      </c>
      <c r="F27" s="225"/>
      <c r="G27" s="227" t="s">
        <v>680</v>
      </c>
      <c r="H27" s="225" t="s">
        <v>679</v>
      </c>
      <c r="I27" s="225" t="s">
        <v>18</v>
      </c>
      <c r="J27" s="225" t="s">
        <v>51</v>
      </c>
      <c r="K27" s="225"/>
      <c r="L27" s="225" t="s">
        <v>684</v>
      </c>
      <c r="M27" s="225"/>
      <c r="N27" s="228" t="s">
        <v>683</v>
      </c>
      <c r="O27" s="229">
        <v>570</v>
      </c>
      <c r="P27" s="225"/>
      <c r="Q27" s="225" t="s">
        <v>752</v>
      </c>
      <c r="R27" s="227">
        <v>0</v>
      </c>
      <c r="S27" s="227">
        <v>6</v>
      </c>
      <c r="T27" s="227">
        <v>2</v>
      </c>
      <c r="U27" s="675">
        <v>570</v>
      </c>
      <c r="V27" s="225"/>
      <c r="W27" s="225"/>
      <c r="X27" s="225"/>
      <c r="Y27" s="225"/>
      <c r="Z27" s="225"/>
    </row>
    <row r="28" spans="1:26">
      <c r="A28" s="219" t="s">
        <v>755</v>
      </c>
      <c r="B28" s="219" t="s">
        <v>756</v>
      </c>
      <c r="C28" s="220">
        <v>40705</v>
      </c>
      <c r="D28" s="220">
        <v>40719</v>
      </c>
      <c r="E28" s="219" t="s">
        <v>757</v>
      </c>
      <c r="F28" s="219"/>
      <c r="G28" s="221" t="s">
        <v>758</v>
      </c>
      <c r="H28" s="219" t="s">
        <v>759</v>
      </c>
      <c r="I28" s="219" t="s">
        <v>18</v>
      </c>
      <c r="J28" s="219" t="s">
        <v>51</v>
      </c>
      <c r="K28" s="219" t="s">
        <v>761</v>
      </c>
      <c r="L28" s="219"/>
      <c r="M28" s="219"/>
      <c r="N28" s="222" t="s">
        <v>760</v>
      </c>
      <c r="O28" s="223">
        <f>1434+70</f>
        <v>1504</v>
      </c>
      <c r="P28" s="219"/>
      <c r="Q28" s="219" t="s">
        <v>762</v>
      </c>
      <c r="R28" s="221">
        <v>1</v>
      </c>
      <c r="S28" s="221">
        <v>4</v>
      </c>
      <c r="T28" s="221">
        <v>0</v>
      </c>
      <c r="U28" s="607">
        <v>358.5</v>
      </c>
      <c r="V28" s="219"/>
      <c r="W28" s="219"/>
      <c r="X28" s="219"/>
      <c r="Y28" s="219"/>
      <c r="Z28" s="219"/>
    </row>
    <row r="29" spans="1:26" s="165" customFormat="1" ht="10.8" thickBot="1">
      <c r="A29" s="208" t="s">
        <v>718</v>
      </c>
      <c r="B29" s="208" t="s">
        <v>328</v>
      </c>
      <c r="C29" s="209">
        <v>40789</v>
      </c>
      <c r="D29" s="209">
        <v>40803</v>
      </c>
      <c r="E29" s="208" t="s">
        <v>719</v>
      </c>
      <c r="F29" s="208"/>
      <c r="G29" s="210">
        <v>40213</v>
      </c>
      <c r="H29" s="208" t="s">
        <v>720</v>
      </c>
      <c r="I29" s="208" t="s">
        <v>18</v>
      </c>
      <c r="J29" s="208" t="s">
        <v>51</v>
      </c>
      <c r="K29" s="208" t="s">
        <v>763</v>
      </c>
      <c r="L29" s="208"/>
      <c r="M29" s="208"/>
      <c r="N29" s="211" t="s">
        <v>721</v>
      </c>
      <c r="O29" s="212">
        <f>2480+70</f>
        <v>2550</v>
      </c>
      <c r="P29" s="208"/>
      <c r="Q29" s="208" t="s">
        <v>199</v>
      </c>
      <c r="R29" s="210">
        <v>2</v>
      </c>
      <c r="S29" s="210">
        <v>2</v>
      </c>
      <c r="T29" s="210">
        <v>2</v>
      </c>
      <c r="U29" s="212">
        <v>620</v>
      </c>
      <c r="V29" s="208"/>
      <c r="W29" s="208"/>
      <c r="X29" s="208"/>
      <c r="Y29" s="208"/>
      <c r="Z29" s="208"/>
    </row>
    <row r="30" spans="1:26">
      <c r="A30" s="143" t="s">
        <v>765</v>
      </c>
      <c r="B30" s="143" t="s">
        <v>511</v>
      </c>
      <c r="C30" s="144">
        <v>40803</v>
      </c>
      <c r="D30" s="144">
        <v>40817</v>
      </c>
      <c r="E30" s="143"/>
      <c r="F30" s="143"/>
      <c r="G30" s="145"/>
      <c r="H30" s="143"/>
      <c r="I30" s="143" t="s">
        <v>18</v>
      </c>
      <c r="J30" s="143" t="s">
        <v>51</v>
      </c>
      <c r="K30" s="143"/>
      <c r="L30" s="143"/>
      <c r="M30" s="143"/>
      <c r="N30" s="147" t="s">
        <v>764</v>
      </c>
      <c r="O30" s="148">
        <f>990+1090+70</f>
        <v>2150</v>
      </c>
      <c r="P30" s="143"/>
      <c r="Q30" s="143" t="s">
        <v>199</v>
      </c>
      <c r="R30" s="145">
        <v>2</v>
      </c>
      <c r="S30" s="145">
        <v>2</v>
      </c>
      <c r="T30" s="145">
        <v>0</v>
      </c>
      <c r="U30" s="581">
        <f>O30/4</f>
        <v>537.5</v>
      </c>
      <c r="V30" s="143"/>
      <c r="W30" s="143"/>
      <c r="X30" s="143"/>
      <c r="Y30" s="143"/>
      <c r="Z30" s="143"/>
    </row>
    <row r="31" spans="1:26" ht="10.8" thickBot="1">
      <c r="A31" s="143" t="s">
        <v>810</v>
      </c>
      <c r="B31" s="143" t="s">
        <v>24</v>
      </c>
      <c r="C31" s="144">
        <v>40902</v>
      </c>
      <c r="D31" s="144">
        <v>40909</v>
      </c>
      <c r="E31" s="143"/>
      <c r="F31" s="143"/>
      <c r="G31" s="145"/>
      <c r="H31" s="143" t="s">
        <v>814</v>
      </c>
      <c r="I31" s="143" t="s">
        <v>18</v>
      </c>
      <c r="J31" s="143" t="s">
        <v>51</v>
      </c>
      <c r="K31" s="143" t="s">
        <v>811</v>
      </c>
      <c r="L31" s="143" t="s">
        <v>812</v>
      </c>
      <c r="M31" s="143"/>
      <c r="N31" s="147" t="s">
        <v>815</v>
      </c>
      <c r="O31" s="148">
        <f>1050+42+70</f>
        <v>1162</v>
      </c>
      <c r="P31" s="143"/>
      <c r="Q31" s="143" t="s">
        <v>813</v>
      </c>
      <c r="R31" s="145">
        <v>1</v>
      </c>
      <c r="S31" s="145">
        <v>2</v>
      </c>
      <c r="T31" s="145">
        <v>2</v>
      </c>
      <c r="U31" s="148">
        <v>290.5</v>
      </c>
      <c r="V31" s="143"/>
      <c r="W31" s="143"/>
      <c r="X31" s="143"/>
      <c r="Y31" s="143"/>
      <c r="Z31" s="143"/>
    </row>
    <row r="32" spans="1:26" s="143" customFormat="1">
      <c r="A32" s="167" t="s">
        <v>876</v>
      </c>
      <c r="B32" s="168" t="s">
        <v>875</v>
      </c>
      <c r="C32" s="169">
        <v>40992</v>
      </c>
      <c r="D32" s="169">
        <v>41008</v>
      </c>
      <c r="E32" s="168" t="s">
        <v>877</v>
      </c>
      <c r="F32" s="168"/>
      <c r="G32" s="170" t="s">
        <v>878</v>
      </c>
      <c r="H32" s="168" t="s">
        <v>879</v>
      </c>
      <c r="I32" s="168" t="s">
        <v>18</v>
      </c>
      <c r="J32" s="168" t="s">
        <v>51</v>
      </c>
      <c r="K32" s="168" t="s">
        <v>929</v>
      </c>
      <c r="L32" s="168" t="s">
        <v>880</v>
      </c>
      <c r="M32" s="168"/>
      <c r="N32" s="171" t="s">
        <v>881</v>
      </c>
      <c r="O32" s="172">
        <f>690*2+200+70</f>
        <v>1650</v>
      </c>
      <c r="P32" s="168"/>
      <c r="Q32" s="168" t="s">
        <v>883</v>
      </c>
      <c r="R32" s="170">
        <v>2</v>
      </c>
      <c r="S32" s="170">
        <v>4</v>
      </c>
      <c r="T32" s="170"/>
      <c r="U32" s="602">
        <f>O32/4</f>
        <v>412.5</v>
      </c>
      <c r="V32" s="238">
        <v>40970</v>
      </c>
    </row>
    <row r="33" spans="1:26" s="143" customFormat="1">
      <c r="A33" s="142" t="s">
        <v>785</v>
      </c>
      <c r="B33" s="143" t="s">
        <v>830</v>
      </c>
      <c r="C33" s="144">
        <v>41062</v>
      </c>
      <c r="D33" s="144">
        <v>41083</v>
      </c>
      <c r="G33" s="145" t="s">
        <v>787</v>
      </c>
      <c r="H33" s="143" t="s">
        <v>788</v>
      </c>
      <c r="I33" s="143" t="s">
        <v>18</v>
      </c>
      <c r="J33" s="143" t="s">
        <v>51</v>
      </c>
      <c r="K33" s="143" t="s">
        <v>789</v>
      </c>
      <c r="L33" s="143" t="s">
        <v>790</v>
      </c>
      <c r="N33" s="147" t="s">
        <v>786</v>
      </c>
      <c r="O33" s="148">
        <f>890+1090+1190+3*2*21</f>
        <v>3296</v>
      </c>
      <c r="Q33" s="143" t="s">
        <v>791</v>
      </c>
      <c r="R33" s="145">
        <v>3</v>
      </c>
      <c r="S33" s="145">
        <v>3</v>
      </c>
      <c r="T33" s="145">
        <v>2</v>
      </c>
      <c r="U33" s="236">
        <v>792.5</v>
      </c>
      <c r="W33" s="143" t="s">
        <v>791</v>
      </c>
    </row>
    <row r="34" spans="1:26" s="143" customFormat="1">
      <c r="A34" s="142" t="s">
        <v>867</v>
      </c>
      <c r="B34" s="143" t="s">
        <v>431</v>
      </c>
      <c r="C34" s="144">
        <v>41083</v>
      </c>
      <c r="D34" s="144">
        <v>41097</v>
      </c>
      <c r="G34" s="145"/>
      <c r="H34" s="143" t="s">
        <v>868</v>
      </c>
      <c r="I34" s="143" t="s">
        <v>18</v>
      </c>
      <c r="J34" s="143" t="s">
        <v>51</v>
      </c>
      <c r="L34" s="143" t="s">
        <v>945</v>
      </c>
      <c r="N34" s="147" t="s">
        <v>866</v>
      </c>
      <c r="O34" s="148">
        <f>2240</f>
        <v>2240</v>
      </c>
      <c r="Q34" s="143" t="s">
        <v>791</v>
      </c>
      <c r="R34" s="145">
        <v>2</v>
      </c>
      <c r="S34" s="145">
        <v>4</v>
      </c>
      <c r="T34" s="145"/>
      <c r="U34" s="236">
        <f>560</f>
        <v>560</v>
      </c>
      <c r="W34" s="143" t="s">
        <v>791</v>
      </c>
      <c r="X34" s="143" t="s">
        <v>870</v>
      </c>
    </row>
    <row r="35" spans="1:26" s="143" customFormat="1">
      <c r="A35" s="142" t="s">
        <v>934</v>
      </c>
      <c r="B35" s="143" t="s">
        <v>935</v>
      </c>
      <c r="C35" s="144">
        <v>41118</v>
      </c>
      <c r="D35" s="144">
        <v>41139</v>
      </c>
      <c r="E35" s="143" t="s">
        <v>936</v>
      </c>
      <c r="G35" s="145">
        <v>45359</v>
      </c>
      <c r="H35" s="143" t="s">
        <v>937</v>
      </c>
      <c r="I35" s="143" t="s">
        <v>18</v>
      </c>
      <c r="J35" s="143" t="s">
        <v>51</v>
      </c>
      <c r="K35" s="143" t="s">
        <v>938</v>
      </c>
      <c r="L35" s="143" t="s">
        <v>939</v>
      </c>
      <c r="N35" s="147" t="s">
        <v>940</v>
      </c>
      <c r="O35" s="148">
        <v>5670</v>
      </c>
      <c r="Q35" s="143" t="s">
        <v>941</v>
      </c>
      <c r="R35" s="145">
        <v>3</v>
      </c>
      <c r="S35" s="145">
        <v>4</v>
      </c>
      <c r="T35" s="145">
        <v>1</v>
      </c>
      <c r="U35" s="239">
        <v>1417.5</v>
      </c>
      <c r="V35" s="240">
        <v>41060</v>
      </c>
    </row>
    <row r="36" spans="1:26" s="143" customFormat="1" ht="13.8">
      <c r="A36" s="142" t="s">
        <v>858</v>
      </c>
      <c r="B36" s="143" t="s">
        <v>857</v>
      </c>
      <c r="C36" s="144">
        <v>41139</v>
      </c>
      <c r="D36" s="144">
        <v>41153</v>
      </c>
      <c r="E36" s="241" t="s">
        <v>854</v>
      </c>
      <c r="G36" s="145" t="s">
        <v>855</v>
      </c>
      <c r="H36" s="143" t="s">
        <v>856</v>
      </c>
      <c r="I36" s="143" t="s">
        <v>18</v>
      </c>
      <c r="J36" s="143" t="s">
        <v>51</v>
      </c>
      <c r="K36" s="143" t="s">
        <v>863</v>
      </c>
      <c r="L36" s="143" t="s">
        <v>862</v>
      </c>
      <c r="N36" s="147" t="s">
        <v>859</v>
      </c>
      <c r="O36" s="148">
        <f>1590+1390+42+70</f>
        <v>3092</v>
      </c>
      <c r="Q36" s="143" t="s">
        <v>864</v>
      </c>
      <c r="R36" s="145">
        <v>2</v>
      </c>
      <c r="S36" s="145" t="s">
        <v>864</v>
      </c>
      <c r="T36" s="145" t="s">
        <v>860</v>
      </c>
      <c r="U36" s="239">
        <f>O36/4</f>
        <v>773</v>
      </c>
      <c r="V36" s="238">
        <v>40941</v>
      </c>
    </row>
    <row r="37" spans="1:26" s="177" customFormat="1">
      <c r="A37" s="142" t="s">
        <v>953</v>
      </c>
      <c r="B37" s="143" t="s">
        <v>954</v>
      </c>
      <c r="C37" s="144">
        <v>41161</v>
      </c>
      <c r="D37" s="144">
        <v>41174</v>
      </c>
      <c r="E37" s="143" t="s">
        <v>960</v>
      </c>
      <c r="F37" s="143"/>
      <c r="G37" s="145" t="s">
        <v>956</v>
      </c>
      <c r="H37" s="143" t="s">
        <v>955</v>
      </c>
      <c r="I37" s="143" t="s">
        <v>18</v>
      </c>
      <c r="J37" s="143" t="s">
        <v>51</v>
      </c>
      <c r="K37" s="143"/>
      <c r="L37" s="143" t="s">
        <v>957</v>
      </c>
      <c r="M37" s="143"/>
      <c r="N37" s="147" t="s">
        <v>958</v>
      </c>
      <c r="O37" s="148">
        <f>990*2</f>
        <v>1980</v>
      </c>
      <c r="P37" s="143"/>
      <c r="Q37" s="143" t="s">
        <v>959</v>
      </c>
      <c r="R37" s="145">
        <v>2</v>
      </c>
      <c r="S37" s="145">
        <v>2</v>
      </c>
      <c r="T37" s="145">
        <v>3</v>
      </c>
      <c r="U37" s="239">
        <v>495</v>
      </c>
      <c r="V37" s="240">
        <v>41101</v>
      </c>
      <c r="W37" s="143" t="s">
        <v>791</v>
      </c>
      <c r="X37" s="143"/>
      <c r="Y37" s="143"/>
      <c r="Z37" s="143"/>
    </row>
    <row r="38" spans="1:26" s="143" customFormat="1" ht="13.8">
      <c r="A38" s="142" t="s">
        <v>931</v>
      </c>
      <c r="B38" s="143" t="s">
        <v>932</v>
      </c>
      <c r="C38" s="144">
        <v>41181</v>
      </c>
      <c r="D38" s="144">
        <v>41188</v>
      </c>
      <c r="E38" s="241"/>
      <c r="G38" s="145"/>
      <c r="H38" s="242" t="s">
        <v>995</v>
      </c>
      <c r="I38" s="143" t="s">
        <v>18</v>
      </c>
      <c r="J38" s="143" t="s">
        <v>51</v>
      </c>
      <c r="L38" s="143" t="s">
        <v>994</v>
      </c>
      <c r="N38" s="147" t="s">
        <v>930</v>
      </c>
      <c r="O38" s="148">
        <f>890+70+21+70</f>
        <v>1051</v>
      </c>
      <c r="Q38" s="143">
        <v>2</v>
      </c>
      <c r="R38" s="145">
        <v>1</v>
      </c>
      <c r="S38" s="145">
        <v>2</v>
      </c>
      <c r="T38" s="145">
        <v>1</v>
      </c>
      <c r="U38" s="239">
        <v>225</v>
      </c>
      <c r="V38" s="238">
        <v>41034</v>
      </c>
      <c r="W38" s="143" t="s">
        <v>933</v>
      </c>
    </row>
    <row r="39" spans="1:26" s="143" customFormat="1">
      <c r="A39" s="142" t="s">
        <v>947</v>
      </c>
      <c r="C39" s="144">
        <v>41188</v>
      </c>
      <c r="D39" s="144">
        <v>41198</v>
      </c>
      <c r="E39" s="143" t="s">
        <v>948</v>
      </c>
      <c r="G39" s="145">
        <v>66879</v>
      </c>
      <c r="H39" s="143" t="s">
        <v>949</v>
      </c>
      <c r="I39" s="143" t="s">
        <v>18</v>
      </c>
      <c r="J39" s="143" t="s">
        <v>51</v>
      </c>
      <c r="K39" s="143">
        <v>49637170197</v>
      </c>
      <c r="L39" s="173" t="s">
        <v>1005</v>
      </c>
      <c r="N39" s="147"/>
      <c r="O39" s="148">
        <f>790*2-330+70</f>
        <v>1320</v>
      </c>
      <c r="Q39" s="143" t="s">
        <v>674</v>
      </c>
      <c r="R39" s="145">
        <v>2</v>
      </c>
      <c r="S39" s="145">
        <v>5</v>
      </c>
      <c r="T39" s="145"/>
      <c r="U39" s="243">
        <v>300</v>
      </c>
      <c r="V39" s="238"/>
      <c r="W39" s="143" t="s">
        <v>951</v>
      </c>
    </row>
    <row r="40" spans="1:26" s="143" customFormat="1">
      <c r="A40" s="142" t="s">
        <v>1006</v>
      </c>
      <c r="B40" s="143" t="s">
        <v>693</v>
      </c>
      <c r="C40" s="144">
        <v>41415</v>
      </c>
      <c r="D40" s="144">
        <v>41426</v>
      </c>
      <c r="E40" s="143" t="s">
        <v>1007</v>
      </c>
      <c r="G40" s="145"/>
      <c r="I40" s="143" t="s">
        <v>18</v>
      </c>
      <c r="J40" s="143" t="s">
        <v>51</v>
      </c>
      <c r="K40" s="143" t="s">
        <v>1008</v>
      </c>
      <c r="L40" s="143" t="s">
        <v>1009</v>
      </c>
      <c r="N40" s="147" t="s">
        <v>1010</v>
      </c>
      <c r="O40" s="148">
        <f>1680+70</f>
        <v>1750</v>
      </c>
      <c r="Q40" s="143" t="s">
        <v>1011</v>
      </c>
      <c r="R40" s="145">
        <v>2</v>
      </c>
      <c r="S40" s="145" t="s">
        <v>1012</v>
      </c>
      <c r="T40" s="145">
        <v>0</v>
      </c>
      <c r="U40" s="236">
        <v>420</v>
      </c>
      <c r="V40" s="238">
        <v>41196</v>
      </c>
      <c r="W40" s="143" t="s">
        <v>1013</v>
      </c>
    </row>
    <row r="41" spans="1:26" s="143" customFormat="1">
      <c r="A41" s="142" t="s">
        <v>810</v>
      </c>
      <c r="B41" s="143" t="s">
        <v>1113</v>
      </c>
      <c r="C41" s="144">
        <v>41461</v>
      </c>
      <c r="D41" s="144">
        <v>41475</v>
      </c>
      <c r="E41" s="143" t="s">
        <v>1114</v>
      </c>
      <c r="G41" s="145" t="s">
        <v>1115</v>
      </c>
      <c r="H41" s="143" t="s">
        <v>1116</v>
      </c>
      <c r="I41" s="143" t="s">
        <v>18</v>
      </c>
      <c r="J41" s="143" t="s">
        <v>51</v>
      </c>
      <c r="K41" s="143" t="s">
        <v>1117</v>
      </c>
      <c r="L41" s="143" t="s">
        <v>1118</v>
      </c>
      <c r="N41" s="147" t="s">
        <v>1112</v>
      </c>
      <c r="O41" s="148">
        <v>3000</v>
      </c>
      <c r="R41" s="145">
        <v>2</v>
      </c>
      <c r="S41" s="145" t="s">
        <v>1119</v>
      </c>
      <c r="T41" s="145"/>
      <c r="U41" s="236">
        <v>750</v>
      </c>
      <c r="V41" s="238">
        <v>41364</v>
      </c>
      <c r="W41" s="143" t="s">
        <v>1071</v>
      </c>
    </row>
    <row r="42" spans="1:26" s="143" customFormat="1">
      <c r="A42" s="142" t="s">
        <v>1134</v>
      </c>
      <c r="B42" s="143" t="s">
        <v>1133</v>
      </c>
      <c r="C42" s="144">
        <v>41475</v>
      </c>
      <c r="D42" s="144">
        <v>41482</v>
      </c>
      <c r="E42" s="143" t="s">
        <v>1139</v>
      </c>
      <c r="G42" s="145" t="s">
        <v>1140</v>
      </c>
      <c r="H42" s="143" t="s">
        <v>1141</v>
      </c>
      <c r="I42" s="143" t="s">
        <v>18</v>
      </c>
      <c r="J42" s="143" t="s">
        <v>51</v>
      </c>
      <c r="K42" s="254" t="s">
        <v>1135</v>
      </c>
      <c r="L42" s="143" t="s">
        <v>1136</v>
      </c>
      <c r="N42" s="147"/>
      <c r="O42" s="148">
        <v>1790</v>
      </c>
      <c r="R42" s="145">
        <v>1</v>
      </c>
      <c r="S42" s="145" t="s">
        <v>1138</v>
      </c>
      <c r="T42" s="145">
        <v>2</v>
      </c>
      <c r="U42" s="236">
        <v>547.5</v>
      </c>
      <c r="V42" s="238">
        <v>41427</v>
      </c>
      <c r="W42" s="143" t="s">
        <v>1052</v>
      </c>
      <c r="X42" s="255">
        <f>O42-U42</f>
        <v>1242.5</v>
      </c>
    </row>
    <row r="43" spans="1:26" s="143" customFormat="1">
      <c r="A43" s="142" t="s">
        <v>1053</v>
      </c>
      <c r="B43" s="143" t="s">
        <v>1054</v>
      </c>
      <c r="C43" s="144">
        <v>41489</v>
      </c>
      <c r="D43" s="144">
        <v>41503</v>
      </c>
      <c r="E43" s="143" t="s">
        <v>1055</v>
      </c>
      <c r="G43" s="145">
        <v>70180</v>
      </c>
      <c r="H43" s="143" t="s">
        <v>1056</v>
      </c>
      <c r="I43" s="143" t="s">
        <v>18</v>
      </c>
      <c r="J43" s="143" t="s">
        <v>51</v>
      </c>
      <c r="K43" s="143" t="s">
        <v>1057</v>
      </c>
      <c r="L43" s="143" t="s">
        <v>1058</v>
      </c>
      <c r="N43" s="147"/>
      <c r="O43" s="148">
        <f>2*1990</f>
        <v>3980</v>
      </c>
      <c r="Q43" s="143" t="s">
        <v>1060</v>
      </c>
      <c r="R43" s="145">
        <v>2</v>
      </c>
      <c r="S43" s="145" t="s">
        <v>1061</v>
      </c>
      <c r="T43" s="145">
        <v>1</v>
      </c>
      <c r="U43" s="236">
        <f>985</f>
        <v>985</v>
      </c>
      <c r="V43" s="240">
        <v>41293</v>
      </c>
      <c r="W43" s="143" t="s">
        <v>791</v>
      </c>
    </row>
    <row r="44" spans="1:26" s="143" customFormat="1">
      <c r="A44" s="142" t="s">
        <v>1157</v>
      </c>
      <c r="B44" s="143" t="s">
        <v>1158</v>
      </c>
      <c r="C44" s="144">
        <v>41503</v>
      </c>
      <c r="D44" s="144">
        <v>41510</v>
      </c>
      <c r="E44" s="143" t="s">
        <v>1159</v>
      </c>
      <c r="G44" s="145" t="s">
        <v>1160</v>
      </c>
      <c r="H44" s="143" t="s">
        <v>1161</v>
      </c>
      <c r="I44" s="143" t="s">
        <v>18</v>
      </c>
      <c r="J44" s="143" t="s">
        <v>1023</v>
      </c>
      <c r="K44" s="143" t="s">
        <v>1162</v>
      </c>
      <c r="L44" s="143" t="s">
        <v>1163</v>
      </c>
      <c r="N44" s="147" t="s">
        <v>1164</v>
      </c>
      <c r="O44" s="148">
        <f>1390+70</f>
        <v>1460</v>
      </c>
      <c r="Q44" s="143" t="s">
        <v>1165</v>
      </c>
      <c r="R44" s="145">
        <v>2</v>
      </c>
      <c r="S44" s="145" t="s">
        <v>1025</v>
      </c>
      <c r="T44" s="145"/>
      <c r="U44" s="236">
        <f>2480/4</f>
        <v>620</v>
      </c>
      <c r="V44" s="238">
        <v>41207</v>
      </c>
    </row>
    <row r="45" spans="1:26" s="143" customFormat="1">
      <c r="A45" s="142" t="s">
        <v>1022</v>
      </c>
      <c r="B45" s="143" t="s">
        <v>1021</v>
      </c>
      <c r="C45" s="144">
        <v>41517</v>
      </c>
      <c r="D45" s="144">
        <v>41531</v>
      </c>
      <c r="G45" s="145"/>
      <c r="I45" s="143" t="s">
        <v>18</v>
      </c>
      <c r="J45" s="143" t="s">
        <v>1023</v>
      </c>
      <c r="L45" s="143" t="s">
        <v>1024</v>
      </c>
      <c r="N45" s="147" t="s">
        <v>1020</v>
      </c>
      <c r="O45" s="148">
        <f>1290+1190+70+42</f>
        <v>2592</v>
      </c>
      <c r="Q45" s="143" t="s">
        <v>1025</v>
      </c>
      <c r="R45" s="145">
        <v>2</v>
      </c>
      <c r="S45" s="145" t="s">
        <v>1025</v>
      </c>
      <c r="T45" s="145"/>
      <c r="U45" s="236">
        <f>2480/4</f>
        <v>620</v>
      </c>
      <c r="V45" s="238">
        <v>41207</v>
      </c>
    </row>
    <row r="46" spans="1:26" s="143" customFormat="1">
      <c r="A46" s="142" t="s">
        <v>1091</v>
      </c>
      <c r="B46" s="143" t="s">
        <v>1089</v>
      </c>
      <c r="C46" s="144">
        <v>41531</v>
      </c>
      <c r="D46" s="144">
        <v>41545</v>
      </c>
      <c r="E46" s="143" t="s">
        <v>1090</v>
      </c>
      <c r="G46" s="145" t="s">
        <v>1093</v>
      </c>
      <c r="H46" s="143" t="s">
        <v>1092</v>
      </c>
      <c r="I46" s="143" t="s">
        <v>18</v>
      </c>
      <c r="J46" s="143" t="s">
        <v>19</v>
      </c>
      <c r="K46" s="143" t="s">
        <v>1094</v>
      </c>
      <c r="L46" s="143" t="s">
        <v>1095</v>
      </c>
      <c r="N46" s="147" t="s">
        <v>1096</v>
      </c>
      <c r="O46" s="148">
        <f>2000+70+42</f>
        <v>2112</v>
      </c>
      <c r="Q46" s="143" t="s">
        <v>1025</v>
      </c>
      <c r="R46" s="145">
        <v>2</v>
      </c>
      <c r="S46" s="145" t="s">
        <v>1025</v>
      </c>
      <c r="T46" s="145">
        <v>1</v>
      </c>
      <c r="U46" s="236">
        <v>500</v>
      </c>
      <c r="V46" s="240">
        <v>41326</v>
      </c>
      <c r="W46" s="143" t="s">
        <v>1052</v>
      </c>
    </row>
    <row r="47" spans="1:26" s="143" customFormat="1">
      <c r="A47" s="142" t="s">
        <v>444</v>
      </c>
      <c r="B47" s="143" t="s">
        <v>256</v>
      </c>
      <c r="C47" s="144">
        <v>41552</v>
      </c>
      <c r="D47" s="144">
        <v>41559</v>
      </c>
      <c r="G47" s="145"/>
      <c r="I47" s="143" t="s">
        <v>18</v>
      </c>
      <c r="J47" s="143" t="s">
        <v>19</v>
      </c>
      <c r="L47" s="143" t="s">
        <v>1145</v>
      </c>
      <c r="N47" s="147"/>
      <c r="O47" s="148">
        <v>790</v>
      </c>
      <c r="R47" s="145">
        <v>1</v>
      </c>
      <c r="S47" s="145">
        <v>2</v>
      </c>
      <c r="T47" s="145">
        <v>0</v>
      </c>
      <c r="U47" s="149">
        <v>200</v>
      </c>
      <c r="W47" s="143" t="s">
        <v>1144</v>
      </c>
    </row>
    <row r="48" spans="1:26" s="143" customFormat="1" ht="10.8" thickBot="1">
      <c r="A48" s="142" t="s">
        <v>1173</v>
      </c>
      <c r="B48" s="143" t="s">
        <v>1174</v>
      </c>
      <c r="C48" s="144">
        <v>41636</v>
      </c>
      <c r="D48" s="144">
        <v>41650</v>
      </c>
      <c r="E48" s="143" t="s">
        <v>1175</v>
      </c>
      <c r="G48" s="145" t="s">
        <v>1176</v>
      </c>
      <c r="H48" s="143" t="s">
        <v>868</v>
      </c>
      <c r="I48" s="143" t="s">
        <v>18</v>
      </c>
      <c r="J48" s="143" t="s">
        <v>51</v>
      </c>
      <c r="K48" s="143" t="s">
        <v>1177</v>
      </c>
      <c r="L48" s="143" t="s">
        <v>1178</v>
      </c>
      <c r="N48" s="147" t="s">
        <v>1179</v>
      </c>
      <c r="O48" s="148">
        <f>1150+690+70</f>
        <v>1910</v>
      </c>
      <c r="Q48" s="143" t="s">
        <v>1185</v>
      </c>
      <c r="R48" s="145">
        <v>2</v>
      </c>
      <c r="S48" s="145" t="s">
        <v>1180</v>
      </c>
      <c r="T48" s="145">
        <v>2</v>
      </c>
      <c r="U48" s="149">
        <v>500</v>
      </c>
      <c r="V48" s="143">
        <v>41551</v>
      </c>
      <c r="W48" s="143" t="s">
        <v>1181</v>
      </c>
      <c r="X48" s="143" t="s">
        <v>1182</v>
      </c>
    </row>
    <row r="49" spans="1:26" ht="13.8" hidden="1" thickBot="1">
      <c r="A49" s="153"/>
      <c r="E49" s="155"/>
      <c r="N49" s="156"/>
      <c r="O49" s="157"/>
      <c r="U49" s="158"/>
    </row>
    <row r="50" spans="1:26" ht="10.8" thickBot="1">
      <c r="A50" s="167" t="s">
        <v>1194</v>
      </c>
      <c r="B50" s="534" t="s">
        <v>1193</v>
      </c>
      <c r="C50" s="144">
        <v>41741</v>
      </c>
      <c r="D50" s="562">
        <v>41755</v>
      </c>
      <c r="E50" s="534" t="s">
        <v>1195</v>
      </c>
      <c r="F50" s="143"/>
      <c r="G50" s="145" t="s">
        <v>1196</v>
      </c>
      <c r="H50" s="143" t="s">
        <v>1197</v>
      </c>
      <c r="I50" s="143" t="s">
        <v>18</v>
      </c>
      <c r="J50" s="143" t="s">
        <v>51</v>
      </c>
      <c r="K50" s="143" t="s">
        <v>1198</v>
      </c>
      <c r="L50" s="143" t="s">
        <v>1199</v>
      </c>
      <c r="M50" s="143"/>
      <c r="N50" s="147"/>
      <c r="O50" s="148">
        <f>790+790</f>
        <v>1580</v>
      </c>
      <c r="P50" s="143"/>
      <c r="Q50" s="143" t="s">
        <v>1201</v>
      </c>
      <c r="R50" s="145">
        <v>2</v>
      </c>
      <c r="S50" s="145" t="s">
        <v>1202</v>
      </c>
      <c r="T50" s="145">
        <v>0</v>
      </c>
      <c r="U50" s="236">
        <f>1580/4</f>
        <v>395</v>
      </c>
      <c r="V50" s="238">
        <v>41603</v>
      </c>
      <c r="W50" s="143" t="s">
        <v>791</v>
      </c>
      <c r="X50" s="143" t="s">
        <v>1154</v>
      </c>
      <c r="Y50" s="143"/>
      <c r="Z50" s="143"/>
    </row>
    <row r="51" spans="1:26" ht="10.8" thickBot="1">
      <c r="A51" s="207" t="s">
        <v>1147</v>
      </c>
      <c r="B51" s="529" t="s">
        <v>1148</v>
      </c>
      <c r="C51" s="546">
        <v>41769</v>
      </c>
      <c r="D51" s="558">
        <v>41783</v>
      </c>
      <c r="E51" s="530" t="s">
        <v>1149</v>
      </c>
      <c r="F51" s="143"/>
      <c r="G51" s="145" t="s">
        <v>1150</v>
      </c>
      <c r="H51" s="143" t="s">
        <v>1151</v>
      </c>
      <c r="I51" s="143" t="s">
        <v>18</v>
      </c>
      <c r="J51" s="143" t="s">
        <v>51</v>
      </c>
      <c r="K51" s="143"/>
      <c r="L51" s="143" t="s">
        <v>1152</v>
      </c>
      <c r="M51" s="143"/>
      <c r="N51" s="147" t="s">
        <v>1153</v>
      </c>
      <c r="O51" s="148">
        <f>790*2</f>
        <v>1580</v>
      </c>
      <c r="P51" s="143"/>
      <c r="Q51" s="143" t="s">
        <v>1267</v>
      </c>
      <c r="R51" s="145">
        <v>2</v>
      </c>
      <c r="S51" s="145" t="s">
        <v>1025</v>
      </c>
      <c r="T51" s="145">
        <v>1</v>
      </c>
      <c r="U51" s="236">
        <f>O51/4</f>
        <v>395</v>
      </c>
      <c r="V51" s="238">
        <v>41467</v>
      </c>
      <c r="W51" s="143" t="s">
        <v>791</v>
      </c>
      <c r="X51" s="143" t="s">
        <v>1154</v>
      </c>
      <c r="Y51" s="143">
        <f>1580/4</f>
        <v>395</v>
      </c>
      <c r="Z51" s="143" t="s">
        <v>1172</v>
      </c>
    </row>
    <row r="52" spans="1:26" ht="10.8" thickBot="1">
      <c r="A52" s="142" t="s">
        <v>1186</v>
      </c>
      <c r="B52" s="143" t="s">
        <v>1187</v>
      </c>
      <c r="C52" s="144">
        <v>41783</v>
      </c>
      <c r="D52" s="558">
        <v>41797</v>
      </c>
      <c r="E52" s="530" t="s">
        <v>1188</v>
      </c>
      <c r="F52" s="143"/>
      <c r="G52" s="145"/>
      <c r="H52" s="143"/>
      <c r="I52" s="143" t="s">
        <v>18</v>
      </c>
      <c r="J52" s="143" t="s">
        <v>51</v>
      </c>
      <c r="K52" s="143" t="s">
        <v>1189</v>
      </c>
      <c r="L52" s="143" t="s">
        <v>1190</v>
      </c>
      <c r="M52" s="143"/>
      <c r="N52" s="147" t="s">
        <v>1191</v>
      </c>
      <c r="O52" s="148">
        <f>890+990+70</f>
        <v>1950</v>
      </c>
      <c r="P52" s="143"/>
      <c r="Q52" s="143" t="s">
        <v>1192</v>
      </c>
      <c r="R52" s="145">
        <v>2</v>
      </c>
      <c r="S52" s="145" t="s">
        <v>717</v>
      </c>
      <c r="T52" s="145">
        <v>2</v>
      </c>
      <c r="U52" s="236">
        <f>1880/4</f>
        <v>470</v>
      </c>
      <c r="V52" s="238">
        <v>41601</v>
      </c>
      <c r="W52" s="143" t="s">
        <v>791</v>
      </c>
      <c r="X52" s="143" t="s">
        <v>1154</v>
      </c>
      <c r="Y52" s="143"/>
      <c r="Z52" s="143"/>
    </row>
    <row r="53" spans="1:26" ht="10.8" thickBot="1">
      <c r="A53" s="508" t="s">
        <v>555</v>
      </c>
      <c r="B53" s="531" t="s">
        <v>1251</v>
      </c>
      <c r="C53" s="144">
        <v>41797</v>
      </c>
      <c r="D53" s="558">
        <v>41811</v>
      </c>
      <c r="E53" s="530" t="s">
        <v>1252</v>
      </c>
      <c r="F53" s="143"/>
      <c r="G53" s="145" t="s">
        <v>1253</v>
      </c>
      <c r="H53" s="143" t="s">
        <v>1254</v>
      </c>
      <c r="I53" s="143" t="s">
        <v>18</v>
      </c>
      <c r="J53" s="143" t="s">
        <v>51</v>
      </c>
      <c r="K53" s="143"/>
      <c r="L53" s="143" t="s">
        <v>1255</v>
      </c>
      <c r="M53" s="143"/>
      <c r="N53" s="147" t="s">
        <v>1256</v>
      </c>
      <c r="O53" s="148">
        <f>1090+1190+70</f>
        <v>2350</v>
      </c>
      <c r="P53" s="143"/>
      <c r="Q53" s="143"/>
      <c r="R53" s="145">
        <v>2</v>
      </c>
      <c r="S53" s="145" t="s">
        <v>1258</v>
      </c>
      <c r="T53" s="145" t="s">
        <v>1257</v>
      </c>
      <c r="U53" s="236">
        <v>570</v>
      </c>
      <c r="V53" s="238">
        <v>41701</v>
      </c>
      <c r="W53" s="143" t="s">
        <v>791</v>
      </c>
      <c r="X53" s="143"/>
      <c r="Y53" s="143"/>
      <c r="Z53" s="143"/>
    </row>
    <row r="54" spans="1:26">
      <c r="A54" s="142" t="s">
        <v>1237</v>
      </c>
      <c r="B54" s="143" t="s">
        <v>693</v>
      </c>
      <c r="C54" s="144">
        <v>41811</v>
      </c>
      <c r="D54" s="558">
        <v>41818</v>
      </c>
      <c r="E54" s="530" t="s">
        <v>1238</v>
      </c>
      <c r="F54" s="143"/>
      <c r="G54" s="145" t="s">
        <v>1239</v>
      </c>
      <c r="H54" s="143" t="s">
        <v>1240</v>
      </c>
      <c r="I54" s="143" t="s">
        <v>18</v>
      </c>
      <c r="J54" s="143" t="s">
        <v>51</v>
      </c>
      <c r="K54" s="143" t="s">
        <v>1241</v>
      </c>
      <c r="L54" s="143" t="s">
        <v>1242</v>
      </c>
      <c r="M54" s="143"/>
      <c r="N54" s="147" t="s">
        <v>1243</v>
      </c>
      <c r="O54" s="148">
        <f>1290+70+21</f>
        <v>1381</v>
      </c>
      <c r="P54" s="143"/>
      <c r="Q54" s="143" t="s">
        <v>1244</v>
      </c>
      <c r="R54" s="145">
        <v>1</v>
      </c>
      <c r="S54" s="145" t="s">
        <v>1244</v>
      </c>
      <c r="T54" s="145">
        <v>1</v>
      </c>
      <c r="U54" s="236">
        <f>1290/4</f>
        <v>322.5</v>
      </c>
      <c r="V54" s="238">
        <v>41664</v>
      </c>
      <c r="W54" s="143" t="s">
        <v>791</v>
      </c>
      <c r="X54" s="143" t="s">
        <v>1154</v>
      </c>
      <c r="Y54" s="143"/>
      <c r="Z54" s="143"/>
    </row>
    <row r="55" spans="1:26" ht="10.8" thickBot="1">
      <c r="A55" s="142" t="s">
        <v>1286</v>
      </c>
      <c r="B55" s="143" t="s">
        <v>1285</v>
      </c>
      <c r="C55" s="144">
        <v>41839</v>
      </c>
      <c r="D55" s="559">
        <v>41853</v>
      </c>
      <c r="E55" s="529" t="s">
        <v>1287</v>
      </c>
      <c r="F55" s="143"/>
      <c r="G55" s="145" t="s">
        <v>1288</v>
      </c>
      <c r="H55" s="143" t="s">
        <v>868</v>
      </c>
      <c r="I55" s="143" t="s">
        <v>18</v>
      </c>
      <c r="J55" s="143" t="s">
        <v>51</v>
      </c>
      <c r="K55" s="143" t="s">
        <v>1289</v>
      </c>
      <c r="L55" s="143"/>
      <c r="M55" s="143"/>
      <c r="N55" s="147" t="s">
        <v>1290</v>
      </c>
      <c r="O55" s="148">
        <v>3000</v>
      </c>
      <c r="P55" s="143"/>
      <c r="Q55" s="143" t="s">
        <v>1291</v>
      </c>
      <c r="R55" s="145">
        <v>2</v>
      </c>
      <c r="S55" s="145">
        <v>4</v>
      </c>
      <c r="T55" s="145">
        <v>0</v>
      </c>
      <c r="U55" s="236">
        <v>0</v>
      </c>
      <c r="V55" s="238">
        <v>41822</v>
      </c>
      <c r="W55" s="143"/>
      <c r="X55" s="143" t="s">
        <v>1217</v>
      </c>
      <c r="Y55" s="143"/>
      <c r="Z55" s="143"/>
    </row>
    <row r="56" spans="1:26" ht="10.8" thickBot="1">
      <c r="A56" s="207" t="s">
        <v>1260</v>
      </c>
      <c r="B56" s="208" t="s">
        <v>1259</v>
      </c>
      <c r="C56" s="209">
        <v>41853</v>
      </c>
      <c r="D56" s="559">
        <v>41867</v>
      </c>
      <c r="E56" s="529" t="s">
        <v>1261</v>
      </c>
      <c r="F56" s="208"/>
      <c r="G56" s="210" t="s">
        <v>670</v>
      </c>
      <c r="H56" s="208" t="s">
        <v>1262</v>
      </c>
      <c r="I56" s="208" t="s">
        <v>18</v>
      </c>
      <c r="J56" s="208" t="s">
        <v>51</v>
      </c>
      <c r="K56" s="208"/>
      <c r="L56" s="208" t="s">
        <v>1263</v>
      </c>
      <c r="M56" s="208"/>
      <c r="N56" s="211" t="s">
        <v>1264</v>
      </c>
      <c r="O56" s="212">
        <f>1990+1990+70+42</f>
        <v>4092</v>
      </c>
      <c r="P56" s="208"/>
      <c r="Q56" s="208" t="s">
        <v>1265</v>
      </c>
      <c r="R56" s="210">
        <v>2</v>
      </c>
      <c r="S56" s="210" t="s">
        <v>1266</v>
      </c>
      <c r="T56" s="210">
        <v>1</v>
      </c>
      <c r="U56" s="608">
        <f>1000</f>
        <v>1000</v>
      </c>
      <c r="V56" s="238">
        <v>41701</v>
      </c>
      <c r="W56" s="143" t="s">
        <v>791</v>
      </c>
      <c r="X56" s="143"/>
      <c r="Y56" s="143"/>
      <c r="Z56" s="143"/>
    </row>
    <row r="57" spans="1:26">
      <c r="A57" s="142" t="s">
        <v>1209</v>
      </c>
      <c r="B57" s="143" t="s">
        <v>1210</v>
      </c>
      <c r="C57" s="144">
        <v>41897</v>
      </c>
      <c r="D57" s="144">
        <v>41908</v>
      </c>
      <c r="E57" s="143" t="s">
        <v>1211</v>
      </c>
      <c r="F57" s="143"/>
      <c r="G57" s="145" t="s">
        <v>1212</v>
      </c>
      <c r="H57" s="143" t="s">
        <v>1213</v>
      </c>
      <c r="I57" s="143" t="s">
        <v>18</v>
      </c>
      <c r="J57" s="143" t="s">
        <v>51</v>
      </c>
      <c r="K57" s="143" t="s">
        <v>1214</v>
      </c>
      <c r="L57" s="143"/>
      <c r="M57" s="143"/>
      <c r="N57" s="147" t="s">
        <v>1215</v>
      </c>
      <c r="O57" s="148">
        <f>2000+50</f>
        <v>2050</v>
      </c>
      <c r="P57" s="143"/>
      <c r="Q57" s="143" t="s">
        <v>1216</v>
      </c>
      <c r="R57" s="145">
        <v>2</v>
      </c>
      <c r="S57" s="145" t="s">
        <v>199</v>
      </c>
      <c r="T57" s="145">
        <v>2</v>
      </c>
      <c r="U57" s="586">
        <v>500</v>
      </c>
      <c r="V57" s="238">
        <v>41656</v>
      </c>
      <c r="W57" s="143" t="s">
        <v>791</v>
      </c>
      <c r="X57" s="143" t="s">
        <v>1217</v>
      </c>
      <c r="Y57" s="143"/>
      <c r="Z57" s="143"/>
    </row>
    <row r="58" spans="1:26" ht="13.2">
      <c r="A58" s="143" t="s">
        <v>1330</v>
      </c>
      <c r="B58" s="143" t="s">
        <v>1331</v>
      </c>
      <c r="C58" s="144">
        <v>42001</v>
      </c>
      <c r="D58" s="144">
        <v>42022</v>
      </c>
      <c r="E58" s="143" t="s">
        <v>1332</v>
      </c>
      <c r="F58" s="143"/>
      <c r="G58" s="145" t="s">
        <v>1333</v>
      </c>
      <c r="H58" s="143" t="s">
        <v>1334</v>
      </c>
      <c r="I58" s="143" t="s">
        <v>18</v>
      </c>
      <c r="J58" s="143" t="s">
        <v>51</v>
      </c>
      <c r="K58" s="143"/>
      <c r="L58" s="143" t="s">
        <v>1335</v>
      </c>
      <c r="M58" s="143"/>
      <c r="N58" s="253" t="s">
        <v>1336</v>
      </c>
      <c r="O58" s="148">
        <f>960+180</f>
        <v>1140</v>
      </c>
      <c r="P58" s="143"/>
      <c r="Q58" s="143" t="s">
        <v>1337</v>
      </c>
      <c r="R58" s="145">
        <v>1</v>
      </c>
      <c r="S58" s="145">
        <v>2</v>
      </c>
      <c r="T58" s="145">
        <v>3</v>
      </c>
      <c r="U58" s="586"/>
      <c r="V58" s="238">
        <v>41962</v>
      </c>
      <c r="W58" s="143" t="s">
        <v>1338</v>
      </c>
      <c r="X58" s="143" t="s">
        <v>1217</v>
      </c>
      <c r="Y58" s="143"/>
      <c r="Z58" s="143"/>
    </row>
    <row r="59" spans="1:26" ht="13.2" hidden="1">
      <c r="A59" s="195"/>
      <c r="B59" s="196"/>
      <c r="C59" s="197"/>
      <c r="D59" s="197"/>
      <c r="E59" s="196"/>
      <c r="F59" s="196"/>
      <c r="G59" s="198"/>
      <c r="H59" s="196"/>
      <c r="I59" s="196"/>
      <c r="J59" s="196"/>
      <c r="K59" s="199"/>
      <c r="L59" s="199"/>
      <c r="M59" s="199"/>
      <c r="N59" s="196"/>
      <c r="O59" s="200"/>
      <c r="P59" s="196"/>
      <c r="Q59" s="196"/>
      <c r="R59" s="198"/>
      <c r="S59" s="198"/>
      <c r="T59" s="198"/>
      <c r="U59" s="201"/>
    </row>
    <row r="60" spans="1:26" s="143" customFormat="1" ht="13.2">
      <c r="A60" s="142" t="s">
        <v>1330</v>
      </c>
      <c r="B60" s="143" t="s">
        <v>1331</v>
      </c>
      <c r="C60" s="144">
        <v>42001</v>
      </c>
      <c r="D60" s="144">
        <v>42022</v>
      </c>
      <c r="E60" s="143" t="s">
        <v>1332</v>
      </c>
      <c r="G60" s="145" t="s">
        <v>1333</v>
      </c>
      <c r="H60" s="143" t="s">
        <v>1334</v>
      </c>
      <c r="I60" s="143" t="s">
        <v>18</v>
      </c>
      <c r="J60" s="143" t="s">
        <v>51</v>
      </c>
      <c r="L60" s="143" t="s">
        <v>1335</v>
      </c>
      <c r="N60" s="253" t="s">
        <v>1339</v>
      </c>
      <c r="O60" s="148">
        <f>2200-960</f>
        <v>1240</v>
      </c>
      <c r="Q60" s="143" t="s">
        <v>1337</v>
      </c>
      <c r="R60" s="145">
        <v>2</v>
      </c>
      <c r="S60" s="145">
        <v>2</v>
      </c>
      <c r="T60" s="145">
        <v>3</v>
      </c>
      <c r="U60" s="236"/>
      <c r="V60" s="238">
        <v>41962</v>
      </c>
      <c r="W60" s="143" t="s">
        <v>1338</v>
      </c>
      <c r="X60" s="143" t="s">
        <v>1217</v>
      </c>
    </row>
    <row r="61" spans="1:26" s="143" customFormat="1" ht="13.2">
      <c r="A61" s="142" t="s">
        <v>1363</v>
      </c>
      <c r="B61" s="143" t="s">
        <v>1364</v>
      </c>
      <c r="C61" s="144">
        <v>42049</v>
      </c>
      <c r="D61" s="144">
        <v>42056</v>
      </c>
      <c r="E61" s="143" t="s">
        <v>1365</v>
      </c>
      <c r="G61" s="145" t="s">
        <v>1366</v>
      </c>
      <c r="H61" s="143" t="s">
        <v>1367</v>
      </c>
      <c r="I61" s="143" t="s">
        <v>18</v>
      </c>
      <c r="J61" s="143" t="s">
        <v>51</v>
      </c>
      <c r="L61" s="143" t="s">
        <v>1368</v>
      </c>
      <c r="N61" s="253" t="s">
        <v>1369</v>
      </c>
      <c r="O61" s="148">
        <f>690+21+30</f>
        <v>741</v>
      </c>
      <c r="R61" s="145">
        <v>1</v>
      </c>
      <c r="S61" s="145" t="s">
        <v>1410</v>
      </c>
      <c r="T61" s="145">
        <v>1</v>
      </c>
      <c r="U61" s="236">
        <v>200</v>
      </c>
      <c r="V61" s="238">
        <v>42009</v>
      </c>
      <c r="X61" s="143" t="s">
        <v>1154</v>
      </c>
    </row>
    <row r="62" spans="1:26" s="143" customFormat="1" ht="13.2">
      <c r="A62" s="142" t="s">
        <v>527</v>
      </c>
      <c r="B62" s="143" t="s">
        <v>857</v>
      </c>
      <c r="C62" s="144">
        <v>42081</v>
      </c>
      <c r="D62" s="144">
        <v>42095</v>
      </c>
      <c r="E62" s="143" t="s">
        <v>1421</v>
      </c>
      <c r="G62" s="145" t="s">
        <v>1422</v>
      </c>
      <c r="H62" s="143" t="s">
        <v>1423</v>
      </c>
      <c r="I62" s="143" t="s">
        <v>18</v>
      </c>
      <c r="J62" s="143" t="s">
        <v>51</v>
      </c>
      <c r="K62" s="143" t="s">
        <v>1424</v>
      </c>
      <c r="N62" s="253"/>
      <c r="O62" s="148">
        <f>690*2</f>
        <v>1380</v>
      </c>
      <c r="Q62" s="143">
        <v>1</v>
      </c>
      <c r="R62" s="145">
        <v>2</v>
      </c>
      <c r="S62" s="145">
        <v>2</v>
      </c>
      <c r="T62" s="145">
        <v>1</v>
      </c>
      <c r="U62" s="236">
        <v>345</v>
      </c>
      <c r="V62" s="238">
        <v>42055</v>
      </c>
      <c r="W62" s="143" t="s">
        <v>791</v>
      </c>
      <c r="X62" s="143" t="s">
        <v>1154</v>
      </c>
    </row>
    <row r="63" spans="1:26" s="143" customFormat="1" ht="13.2">
      <c r="A63" s="142" t="s">
        <v>1305</v>
      </c>
      <c r="B63" s="143" t="s">
        <v>857</v>
      </c>
      <c r="C63" s="144">
        <v>42147</v>
      </c>
      <c r="D63" s="144">
        <v>42154</v>
      </c>
      <c r="E63" s="143" t="s">
        <v>1306</v>
      </c>
      <c r="G63" s="145" t="s">
        <v>1307</v>
      </c>
      <c r="H63" s="143" t="s">
        <v>1308</v>
      </c>
      <c r="I63" s="143" t="s">
        <v>18</v>
      </c>
      <c r="J63" s="143" t="s">
        <v>51</v>
      </c>
      <c r="K63" s="143" t="s">
        <v>1309</v>
      </c>
      <c r="L63" s="143" t="s">
        <v>1310</v>
      </c>
      <c r="N63" s="253" t="s">
        <v>1311</v>
      </c>
      <c r="O63" s="148">
        <f>890+21</f>
        <v>911</v>
      </c>
      <c r="Q63" s="143" t="s">
        <v>1426</v>
      </c>
      <c r="R63" s="145">
        <v>1</v>
      </c>
      <c r="S63" s="145" t="s">
        <v>1312</v>
      </c>
      <c r="T63" s="145">
        <v>1</v>
      </c>
      <c r="U63" s="236">
        <f>890/4</f>
        <v>222.5</v>
      </c>
      <c r="V63" s="238">
        <v>41924</v>
      </c>
      <c r="W63" s="143" t="s">
        <v>791</v>
      </c>
      <c r="X63" s="143" t="s">
        <v>1154</v>
      </c>
    </row>
    <row r="64" spans="1:26" s="143" customFormat="1" ht="13.2">
      <c r="A64" s="142" t="s">
        <v>1375</v>
      </c>
      <c r="B64" s="143" t="s">
        <v>1376</v>
      </c>
      <c r="C64" s="144">
        <v>42154</v>
      </c>
      <c r="D64" s="144">
        <v>42168</v>
      </c>
      <c r="E64" s="143" t="s">
        <v>1377</v>
      </c>
      <c r="G64" s="145" t="s">
        <v>1378</v>
      </c>
      <c r="H64" s="143" t="s">
        <v>1379</v>
      </c>
      <c r="I64" s="143" t="s">
        <v>18</v>
      </c>
      <c r="J64" s="143" t="s">
        <v>51</v>
      </c>
      <c r="L64" s="143" t="s">
        <v>1380</v>
      </c>
      <c r="N64" s="253" t="s">
        <v>1381</v>
      </c>
      <c r="O64" s="148">
        <f>990+1090+70+3*14*2</f>
        <v>2234</v>
      </c>
      <c r="Q64" s="143" t="s">
        <v>1383</v>
      </c>
      <c r="R64" s="145">
        <v>2</v>
      </c>
      <c r="S64" s="145" t="s">
        <v>1382</v>
      </c>
      <c r="T64" s="145">
        <v>2</v>
      </c>
      <c r="U64" s="236">
        <f>2080/4</f>
        <v>520</v>
      </c>
      <c r="V64" s="238">
        <v>42011</v>
      </c>
      <c r="W64" s="143" t="s">
        <v>1338</v>
      </c>
      <c r="X64" s="143" t="s">
        <v>1154</v>
      </c>
    </row>
    <row r="65" spans="1:26" s="143" customFormat="1" ht="13.2">
      <c r="A65" s="142" t="s">
        <v>1313</v>
      </c>
      <c r="B65" s="143" t="s">
        <v>1314</v>
      </c>
      <c r="C65" s="144">
        <v>42168</v>
      </c>
      <c r="D65" s="144">
        <v>42182</v>
      </c>
      <c r="E65" s="143" t="s">
        <v>1315</v>
      </c>
      <c r="G65" s="145" t="s">
        <v>1316</v>
      </c>
      <c r="H65" s="143" t="s">
        <v>1317</v>
      </c>
      <c r="I65" s="143" t="s">
        <v>18</v>
      </c>
      <c r="J65" s="143" t="s">
        <v>51</v>
      </c>
      <c r="K65" s="143" t="s">
        <v>1318</v>
      </c>
      <c r="L65" s="143" t="s">
        <v>1319</v>
      </c>
      <c r="N65" s="253" t="s">
        <v>1320</v>
      </c>
      <c r="O65" s="148">
        <f>1190+1290</f>
        <v>2480</v>
      </c>
      <c r="Q65" s="143" t="s">
        <v>1321</v>
      </c>
      <c r="R65" s="145">
        <v>2</v>
      </c>
      <c r="S65" s="145" t="s">
        <v>199</v>
      </c>
      <c r="T65" s="145">
        <v>3</v>
      </c>
      <c r="U65" s="236">
        <f>620</f>
        <v>620</v>
      </c>
      <c r="V65" s="238">
        <v>41828</v>
      </c>
      <c r="W65" s="143" t="s">
        <v>791</v>
      </c>
      <c r="X65" s="143" t="s">
        <v>1154</v>
      </c>
    </row>
    <row r="66" spans="1:26" s="143" customFormat="1" ht="13.2">
      <c r="A66" s="245" t="s">
        <v>1322</v>
      </c>
      <c r="B66" s="225" t="s">
        <v>538</v>
      </c>
      <c r="C66" s="226">
        <v>42182</v>
      </c>
      <c r="D66" s="226">
        <v>42189</v>
      </c>
      <c r="E66" s="225" t="s">
        <v>1323</v>
      </c>
      <c r="F66" s="225"/>
      <c r="G66" s="227" t="s">
        <v>1324</v>
      </c>
      <c r="H66" s="225" t="s">
        <v>1325</v>
      </c>
      <c r="I66" s="225" t="s">
        <v>18</v>
      </c>
      <c r="J66" s="225" t="s">
        <v>51</v>
      </c>
      <c r="K66" s="225" t="s">
        <v>1326</v>
      </c>
      <c r="L66" s="225" t="s">
        <v>1327</v>
      </c>
      <c r="M66" s="225"/>
      <c r="N66" s="370" t="s">
        <v>1881</v>
      </c>
      <c r="O66" s="229">
        <f>1390-1040</f>
        <v>350</v>
      </c>
      <c r="P66" s="225"/>
      <c r="Q66" s="225" t="s">
        <v>1192</v>
      </c>
      <c r="R66" s="227">
        <v>1</v>
      </c>
      <c r="S66" s="227" t="s">
        <v>199</v>
      </c>
      <c r="T66" s="227">
        <v>2</v>
      </c>
      <c r="U66" s="252">
        <v>350</v>
      </c>
      <c r="V66" s="248">
        <v>41947</v>
      </c>
      <c r="W66" s="225" t="s">
        <v>1329</v>
      </c>
      <c r="X66" s="225" t="s">
        <v>1154</v>
      </c>
      <c r="Y66" s="225"/>
      <c r="Z66" s="225"/>
    </row>
    <row r="67" spans="1:26" s="143" customFormat="1" ht="13.2">
      <c r="A67" s="142" t="s">
        <v>1412</v>
      </c>
      <c r="B67" s="143" t="s">
        <v>1413</v>
      </c>
      <c r="C67" s="144">
        <v>42217</v>
      </c>
      <c r="D67" s="144">
        <v>42231</v>
      </c>
      <c r="E67" s="143" t="s">
        <v>1414</v>
      </c>
      <c r="G67" s="145" t="s">
        <v>1415</v>
      </c>
      <c r="H67" s="143" t="s">
        <v>1416</v>
      </c>
      <c r="I67" s="143" t="s">
        <v>18</v>
      </c>
      <c r="J67" s="143" t="s">
        <v>51</v>
      </c>
      <c r="K67" s="143" t="s">
        <v>1417</v>
      </c>
      <c r="L67" s="143" t="s">
        <v>1418</v>
      </c>
      <c r="N67" s="253" t="s">
        <v>1419</v>
      </c>
      <c r="O67" s="148">
        <v>3600</v>
      </c>
      <c r="Q67" s="143" t="s">
        <v>1420</v>
      </c>
      <c r="R67" s="145">
        <v>2</v>
      </c>
      <c r="S67" s="145">
        <v>4</v>
      </c>
      <c r="T67" s="145">
        <v>1</v>
      </c>
      <c r="U67" s="236">
        <v>900</v>
      </c>
      <c r="V67" s="238">
        <v>42039</v>
      </c>
      <c r="W67" s="143" t="s">
        <v>791</v>
      </c>
      <c r="X67" s="143" t="s">
        <v>1217</v>
      </c>
    </row>
    <row r="68" spans="1:26" s="143" customFormat="1" ht="13.2">
      <c r="A68" s="142" t="s">
        <v>1433</v>
      </c>
      <c r="B68" s="143" t="s">
        <v>1434</v>
      </c>
      <c r="C68" s="144">
        <v>42252</v>
      </c>
      <c r="D68" s="144">
        <v>42266</v>
      </c>
      <c r="E68" s="143" t="s">
        <v>1435</v>
      </c>
      <c r="G68" s="145" t="s">
        <v>1436</v>
      </c>
      <c r="H68" s="143" t="s">
        <v>1437</v>
      </c>
      <c r="I68" s="143" t="s">
        <v>18</v>
      </c>
      <c r="J68" s="143" t="s">
        <v>51</v>
      </c>
      <c r="K68" s="143" t="s">
        <v>1438</v>
      </c>
      <c r="L68" s="143" t="s">
        <v>1439</v>
      </c>
      <c r="N68" s="253" t="s">
        <v>1440</v>
      </c>
      <c r="O68" s="148">
        <f>1190+1190</f>
        <v>2380</v>
      </c>
      <c r="Q68" s="143" t="s">
        <v>1441</v>
      </c>
      <c r="R68" s="145">
        <v>2</v>
      </c>
      <c r="S68" s="145">
        <v>2</v>
      </c>
      <c r="T68" s="145">
        <v>3</v>
      </c>
      <c r="U68" s="236">
        <f>2380/4</f>
        <v>595</v>
      </c>
      <c r="V68" s="238">
        <v>42070</v>
      </c>
      <c r="X68" s="143" t="s">
        <v>1154</v>
      </c>
    </row>
    <row r="69" spans="1:26" s="143" customFormat="1" ht="13.2">
      <c r="A69" s="142" t="s">
        <v>1452</v>
      </c>
      <c r="B69" s="143" t="s">
        <v>1453</v>
      </c>
      <c r="C69" s="144">
        <v>42294</v>
      </c>
      <c r="D69" s="144">
        <v>42305</v>
      </c>
      <c r="E69" s="143" t="s">
        <v>1454</v>
      </c>
      <c r="G69" s="145" t="s">
        <v>1455</v>
      </c>
      <c r="H69" s="143" t="s">
        <v>1456</v>
      </c>
      <c r="I69" s="143" t="s">
        <v>18</v>
      </c>
      <c r="J69" s="143" t="s">
        <v>51</v>
      </c>
      <c r="K69" s="143" t="s">
        <v>1457</v>
      </c>
      <c r="L69" s="143" t="s">
        <v>1458</v>
      </c>
      <c r="N69" s="253" t="s">
        <v>1459</v>
      </c>
      <c r="O69" s="148">
        <v>1190</v>
      </c>
      <c r="Q69" s="143" t="s">
        <v>1460</v>
      </c>
      <c r="R69" s="145">
        <v>1.5</v>
      </c>
      <c r="S69" s="145"/>
      <c r="T69" s="145">
        <v>1</v>
      </c>
      <c r="U69" s="236">
        <v>297.5</v>
      </c>
      <c r="V69" s="238">
        <v>42242</v>
      </c>
      <c r="X69" s="143" t="s">
        <v>1154</v>
      </c>
    </row>
    <row r="70" spans="1:26" s="143" customFormat="1" ht="13.2">
      <c r="A70" s="338" t="s">
        <v>1469</v>
      </c>
      <c r="B70" s="291" t="s">
        <v>1470</v>
      </c>
      <c r="C70" s="292">
        <v>42448</v>
      </c>
      <c r="D70" s="292">
        <v>42462</v>
      </c>
      <c r="E70" s="291" t="s">
        <v>1471</v>
      </c>
      <c r="F70" s="291"/>
      <c r="G70" s="293" t="s">
        <v>1472</v>
      </c>
      <c r="H70" s="291" t="s">
        <v>937</v>
      </c>
      <c r="I70" s="291" t="s">
        <v>18</v>
      </c>
      <c r="J70" s="291" t="s">
        <v>51</v>
      </c>
      <c r="K70" s="291" t="s">
        <v>1473</v>
      </c>
      <c r="L70" s="291" t="s">
        <v>1474</v>
      </c>
      <c r="M70" s="291"/>
      <c r="N70" s="294" t="s">
        <v>1667</v>
      </c>
      <c r="O70" s="295">
        <f>690*2</f>
        <v>1380</v>
      </c>
      <c r="P70" s="291"/>
      <c r="Q70" s="291"/>
      <c r="R70" s="293">
        <v>2</v>
      </c>
      <c r="S70" s="293" t="s">
        <v>1476</v>
      </c>
      <c r="T70" s="293">
        <v>1</v>
      </c>
      <c r="U70" s="296">
        <v>345</v>
      </c>
      <c r="V70" s="297">
        <v>42324</v>
      </c>
      <c r="W70" s="298" t="s">
        <v>1477</v>
      </c>
      <c r="X70" s="291" t="s">
        <v>1154</v>
      </c>
      <c r="Y70" s="291"/>
      <c r="Z70" s="291"/>
    </row>
    <row r="71" spans="1:26" s="143" customFormat="1" ht="13.2">
      <c r="A71" s="338" t="s">
        <v>1462</v>
      </c>
      <c r="B71" s="291" t="s">
        <v>528</v>
      </c>
      <c r="C71" s="292">
        <v>42518</v>
      </c>
      <c r="D71" s="292">
        <v>42525</v>
      </c>
      <c r="E71" s="291" t="s">
        <v>1463</v>
      </c>
      <c r="F71" s="291"/>
      <c r="G71" s="293" t="s">
        <v>1464</v>
      </c>
      <c r="H71" s="291" t="s">
        <v>1465</v>
      </c>
      <c r="I71" s="291" t="s">
        <v>18</v>
      </c>
      <c r="J71" s="291" t="s">
        <v>51</v>
      </c>
      <c r="K71" s="291" t="s">
        <v>1466</v>
      </c>
      <c r="L71" s="291" t="s">
        <v>1467</v>
      </c>
      <c r="M71" s="291"/>
      <c r="N71" s="294" t="s">
        <v>1468</v>
      </c>
      <c r="O71" s="295">
        <f>1090</f>
        <v>1090</v>
      </c>
      <c r="P71" s="291"/>
      <c r="Q71" s="291" t="s">
        <v>1300</v>
      </c>
      <c r="R71" s="293">
        <v>1</v>
      </c>
      <c r="S71" s="293">
        <v>2</v>
      </c>
      <c r="T71" s="293">
        <v>3</v>
      </c>
      <c r="U71" s="296">
        <v>500</v>
      </c>
      <c r="V71" s="298">
        <v>42241</v>
      </c>
      <c r="W71" s="291"/>
      <c r="X71" s="291" t="s">
        <v>1154</v>
      </c>
      <c r="Y71" s="291"/>
      <c r="Z71" s="291"/>
    </row>
    <row r="72" spans="1:26" s="143" customFormat="1" ht="13.2">
      <c r="A72" s="338" t="s">
        <v>1580</v>
      </c>
      <c r="B72" s="291" t="s">
        <v>1581</v>
      </c>
      <c r="C72" s="292">
        <v>42532</v>
      </c>
      <c r="D72" s="292">
        <v>42546</v>
      </c>
      <c r="E72" s="291" t="s">
        <v>1582</v>
      </c>
      <c r="F72" s="291"/>
      <c r="G72" s="293" t="s">
        <v>1583</v>
      </c>
      <c r="H72" s="291" t="s">
        <v>1584</v>
      </c>
      <c r="I72" s="291" t="s">
        <v>18</v>
      </c>
      <c r="J72" s="291" t="s">
        <v>51</v>
      </c>
      <c r="K72" s="291" t="s">
        <v>1585</v>
      </c>
      <c r="L72" s="291" t="s">
        <v>1586</v>
      </c>
      <c r="M72" s="291"/>
      <c r="N72" s="294" t="s">
        <v>1587</v>
      </c>
      <c r="O72" s="295">
        <v>2300</v>
      </c>
      <c r="P72" s="291"/>
      <c r="Q72" s="291" t="s">
        <v>1598</v>
      </c>
      <c r="R72" s="293">
        <v>2</v>
      </c>
      <c r="S72" s="293" t="s">
        <v>1598</v>
      </c>
      <c r="T72" s="293"/>
      <c r="U72" s="296">
        <v>575</v>
      </c>
      <c r="V72" s="298"/>
      <c r="W72" s="291"/>
      <c r="X72" s="291"/>
      <c r="Y72" s="291"/>
      <c r="Z72" s="291"/>
    </row>
    <row r="73" spans="1:26" s="143" customFormat="1" ht="13.2">
      <c r="A73" s="621" t="s">
        <v>1497</v>
      </c>
      <c r="B73" s="291" t="s">
        <v>1498</v>
      </c>
      <c r="C73" s="292">
        <v>42546</v>
      </c>
      <c r="D73" s="292">
        <v>42560</v>
      </c>
      <c r="E73" s="291" t="s">
        <v>1520</v>
      </c>
      <c r="F73" s="291"/>
      <c r="G73" s="293" t="s">
        <v>1521</v>
      </c>
      <c r="H73" s="291" t="s">
        <v>1522</v>
      </c>
      <c r="I73" s="291" t="s">
        <v>18</v>
      </c>
      <c r="J73" s="291" t="s">
        <v>51</v>
      </c>
      <c r="K73" s="291" t="s">
        <v>1523</v>
      </c>
      <c r="L73" s="291" t="s">
        <v>1524</v>
      </c>
      <c r="M73" s="291"/>
      <c r="N73" s="299" t="s">
        <v>1499</v>
      </c>
      <c r="O73" s="295">
        <f>1390+1790</f>
        <v>3180</v>
      </c>
      <c r="P73" s="291"/>
      <c r="Q73" s="291"/>
      <c r="R73" s="293">
        <v>2</v>
      </c>
      <c r="S73" s="293" t="s">
        <v>1500</v>
      </c>
      <c r="T73" s="293">
        <v>1</v>
      </c>
      <c r="U73" s="296">
        <f>O73/4</f>
        <v>795</v>
      </c>
      <c r="V73" s="298"/>
      <c r="W73" s="291"/>
      <c r="X73" s="291"/>
      <c r="Y73" s="291"/>
      <c r="Z73" s="291"/>
    </row>
    <row r="74" spans="1:26" s="143" customFormat="1" ht="13.8" thickBot="1">
      <c r="A74" s="507" t="s">
        <v>1508</v>
      </c>
      <c r="B74" s="425" t="s">
        <v>1509</v>
      </c>
      <c r="C74" s="551">
        <v>42567</v>
      </c>
      <c r="D74" s="551">
        <v>42581</v>
      </c>
      <c r="E74" s="425" t="s">
        <v>1510</v>
      </c>
      <c r="F74" s="425"/>
      <c r="G74" s="577" t="s">
        <v>1511</v>
      </c>
      <c r="H74" s="425" t="s">
        <v>1512</v>
      </c>
      <c r="I74" s="425" t="s">
        <v>18</v>
      </c>
      <c r="J74" s="425" t="s">
        <v>51</v>
      </c>
      <c r="K74" s="425" t="s">
        <v>1513</v>
      </c>
      <c r="L74" s="425" t="s">
        <v>1514</v>
      </c>
      <c r="M74" s="425"/>
      <c r="N74" s="429" t="s">
        <v>1515</v>
      </c>
      <c r="O74" s="584">
        <f>1990*2+3*3*14</f>
        <v>4106</v>
      </c>
      <c r="P74" s="425"/>
      <c r="Q74" s="425" t="s">
        <v>1516</v>
      </c>
      <c r="R74" s="577">
        <v>2</v>
      </c>
      <c r="S74" s="577" t="s">
        <v>1517</v>
      </c>
      <c r="T74" s="577">
        <v>3</v>
      </c>
      <c r="U74" s="606">
        <f xml:space="preserve"> 995</f>
        <v>995</v>
      </c>
      <c r="V74" s="298"/>
      <c r="W74" s="291"/>
      <c r="X74" s="291"/>
      <c r="Y74" s="291"/>
      <c r="Z74" s="291"/>
    </row>
    <row r="75" spans="1:26" ht="13.8">
      <c r="A75" s="338" t="s">
        <v>1589</v>
      </c>
      <c r="B75" s="291" t="s">
        <v>1588</v>
      </c>
      <c r="C75" s="292">
        <v>42581</v>
      </c>
      <c r="D75" s="292">
        <v>42588</v>
      </c>
      <c r="E75" s="291"/>
      <c r="F75" s="291"/>
      <c r="G75" s="293"/>
      <c r="H75" s="291"/>
      <c r="I75" s="291" t="s">
        <v>18</v>
      </c>
      <c r="J75" s="291" t="s">
        <v>51</v>
      </c>
      <c r="K75" s="291"/>
      <c r="L75" s="300" t="s">
        <v>1593</v>
      </c>
      <c r="M75" s="291"/>
      <c r="N75" s="294" t="s">
        <v>1590</v>
      </c>
      <c r="O75" s="295">
        <f>2289-343.35</f>
        <v>1945.65</v>
      </c>
      <c r="P75" s="291"/>
      <c r="Q75" s="291" t="s">
        <v>1591</v>
      </c>
      <c r="R75" s="293">
        <v>1</v>
      </c>
      <c r="S75" s="293">
        <v>5</v>
      </c>
      <c r="T75" s="293">
        <v>2</v>
      </c>
      <c r="U75" s="591"/>
      <c r="V75" s="298">
        <v>42551</v>
      </c>
      <c r="W75" s="291" t="s">
        <v>1592</v>
      </c>
      <c r="X75" s="291" t="s">
        <v>1154</v>
      </c>
      <c r="Y75" s="291"/>
      <c r="Z75" s="291"/>
    </row>
    <row r="76" spans="1:26" ht="13.8" thickBot="1">
      <c r="A76" s="617" t="s">
        <v>1596</v>
      </c>
      <c r="B76" s="302" t="s">
        <v>1597</v>
      </c>
      <c r="C76" s="303">
        <v>42609</v>
      </c>
      <c r="D76" s="303">
        <v>42616</v>
      </c>
      <c r="E76" s="302"/>
      <c r="F76" s="302"/>
      <c r="G76" s="304"/>
      <c r="H76" s="302"/>
      <c r="I76" s="302" t="s">
        <v>18</v>
      </c>
      <c r="J76" s="302" t="s">
        <v>51</v>
      </c>
      <c r="K76" s="302"/>
      <c r="L76" s="305" t="s">
        <v>1601</v>
      </c>
      <c r="M76" s="302"/>
      <c r="N76" s="306" t="s">
        <v>1615</v>
      </c>
      <c r="O76" s="307">
        <f xml:space="preserve"> 1505/1.15</f>
        <v>1308.6956521739132</v>
      </c>
      <c r="P76" s="302"/>
      <c r="Q76" s="302" t="s">
        <v>1614</v>
      </c>
      <c r="R76" s="304">
        <v>1</v>
      </c>
      <c r="S76" s="304">
        <v>3</v>
      </c>
      <c r="T76" s="304">
        <v>1</v>
      </c>
      <c r="U76" s="592"/>
      <c r="V76" s="308"/>
      <c r="W76" s="302" t="s">
        <v>1592</v>
      </c>
      <c r="X76" s="302"/>
      <c r="Y76" s="302"/>
      <c r="Z76" s="302"/>
    </row>
    <row r="77" spans="1:26" ht="13.8" thickBot="1">
      <c r="A77" s="710" t="s">
        <v>1619</v>
      </c>
      <c r="B77" s="723" t="s">
        <v>1602</v>
      </c>
      <c r="C77" s="292">
        <v>42616</v>
      </c>
      <c r="D77" s="740">
        <v>42623</v>
      </c>
      <c r="E77" s="723" t="s">
        <v>1608</v>
      </c>
      <c r="F77" s="291"/>
      <c r="G77" s="293" t="s">
        <v>1610</v>
      </c>
      <c r="H77" s="291" t="s">
        <v>1609</v>
      </c>
      <c r="I77" s="291" t="s">
        <v>18</v>
      </c>
      <c r="J77" s="291" t="s">
        <v>51</v>
      </c>
      <c r="K77" s="291" t="s">
        <v>1611</v>
      </c>
      <c r="L77" s="309" t="s">
        <v>1612</v>
      </c>
      <c r="M77" s="291"/>
      <c r="N77" s="294" t="s">
        <v>1613</v>
      </c>
      <c r="O77" s="295">
        <v>1390</v>
      </c>
      <c r="P77" s="291"/>
      <c r="Q77" s="291" t="s">
        <v>199</v>
      </c>
      <c r="R77" s="293">
        <v>1</v>
      </c>
      <c r="S77" s="293" t="s">
        <v>1616</v>
      </c>
      <c r="T77" s="293">
        <v>2</v>
      </c>
      <c r="U77" s="591">
        <v>347.5</v>
      </c>
      <c r="V77" s="298"/>
      <c r="W77" s="291"/>
      <c r="X77" s="291"/>
      <c r="Y77" s="291"/>
      <c r="Z77" s="291"/>
    </row>
    <row r="78" spans="1:26" ht="13.8" thickBot="1">
      <c r="A78" s="714" t="s">
        <v>1492</v>
      </c>
      <c r="B78" s="727" t="s">
        <v>264</v>
      </c>
      <c r="C78" s="737">
        <v>42616</v>
      </c>
      <c r="D78" s="745">
        <v>42630</v>
      </c>
      <c r="E78" s="750" t="s">
        <v>1491</v>
      </c>
      <c r="F78" s="310"/>
      <c r="G78" s="312" t="s">
        <v>1493</v>
      </c>
      <c r="H78" s="310" t="s">
        <v>187</v>
      </c>
      <c r="I78" s="310" t="s">
        <v>18</v>
      </c>
      <c r="J78" s="310" t="s">
        <v>51</v>
      </c>
      <c r="K78" s="313" t="s">
        <v>1494</v>
      </c>
      <c r="L78" s="313" t="s">
        <v>1495</v>
      </c>
      <c r="M78" s="310"/>
      <c r="N78" s="264"/>
      <c r="O78" s="314" t="s">
        <v>1566</v>
      </c>
      <c r="P78" s="310"/>
      <c r="Q78" s="310" t="s">
        <v>1666</v>
      </c>
      <c r="R78" s="312">
        <v>0</v>
      </c>
      <c r="S78" s="312" t="s">
        <v>1496</v>
      </c>
      <c r="T78" s="312">
        <v>2</v>
      </c>
      <c r="U78" s="601">
        <v>645</v>
      </c>
      <c r="V78" s="316">
        <v>42346</v>
      </c>
      <c r="W78" s="310" t="s">
        <v>1477</v>
      </c>
      <c r="X78" s="310" t="s">
        <v>1154</v>
      </c>
      <c r="Y78" s="310"/>
      <c r="Z78" s="310"/>
    </row>
    <row r="79" spans="1:26" ht="13.8" thickBot="1">
      <c r="A79" s="317" t="s">
        <v>1544</v>
      </c>
      <c r="B79" s="317" t="s">
        <v>1545</v>
      </c>
      <c r="C79" s="318">
        <v>42623</v>
      </c>
      <c r="D79" s="560">
        <v>42630</v>
      </c>
      <c r="E79" s="572" t="s">
        <v>1549</v>
      </c>
      <c r="F79" s="317"/>
      <c r="G79" s="319" t="s">
        <v>1550</v>
      </c>
      <c r="H79" s="317" t="s">
        <v>1551</v>
      </c>
      <c r="I79" s="317" t="s">
        <v>18</v>
      </c>
      <c r="J79" s="317" t="s">
        <v>51</v>
      </c>
      <c r="K79" s="317"/>
      <c r="L79" s="317" t="s">
        <v>1546</v>
      </c>
      <c r="M79" s="317"/>
      <c r="N79" s="320"/>
      <c r="O79" s="321">
        <f>(1190+1090+990)/4 +1190*3/4+9*7+70</f>
        <v>1843</v>
      </c>
      <c r="P79" s="317"/>
      <c r="Q79" s="317" t="s">
        <v>1548</v>
      </c>
      <c r="R79" s="319">
        <v>1</v>
      </c>
      <c r="S79" s="319" t="s">
        <v>1300</v>
      </c>
      <c r="T79" s="319">
        <v>3</v>
      </c>
      <c r="U79" s="599"/>
      <c r="V79" s="322">
        <v>42435</v>
      </c>
      <c r="W79" s="317"/>
      <c r="X79" s="317" t="s">
        <v>1154</v>
      </c>
      <c r="Y79" s="317"/>
      <c r="Z79" s="317"/>
    </row>
    <row r="80" spans="1:26" ht="13.8" thickBot="1">
      <c r="A80" s="719" t="s">
        <v>1621</v>
      </c>
      <c r="B80" s="730" t="s">
        <v>730</v>
      </c>
      <c r="C80" s="303">
        <v>42644</v>
      </c>
      <c r="D80" s="552">
        <v>42651</v>
      </c>
      <c r="E80" s="569"/>
      <c r="F80" s="302"/>
      <c r="G80" s="304"/>
      <c r="H80" s="302"/>
      <c r="I80" s="302" t="s">
        <v>18</v>
      </c>
      <c r="J80" s="302" t="s">
        <v>51</v>
      </c>
      <c r="K80" s="302"/>
      <c r="L80" s="323" t="s">
        <v>1622</v>
      </c>
      <c r="M80" s="302"/>
      <c r="N80" s="306"/>
      <c r="O80" s="307">
        <f>1120-168</f>
        <v>952</v>
      </c>
      <c r="P80" s="302"/>
      <c r="Q80" s="302"/>
      <c r="R80" s="304">
        <v>1</v>
      </c>
      <c r="S80" s="304" t="s">
        <v>1517</v>
      </c>
      <c r="T80" s="304">
        <v>0</v>
      </c>
      <c r="U80" s="592"/>
      <c r="V80" s="308"/>
      <c r="W80" s="302" t="s">
        <v>1592</v>
      </c>
      <c r="X80" s="302"/>
      <c r="Y80" s="302"/>
      <c r="Z80" s="302"/>
    </row>
    <row r="81" spans="1:26" ht="13.8" thickBot="1">
      <c r="A81" s="291" t="s">
        <v>1633</v>
      </c>
      <c r="B81" s="291" t="s">
        <v>1634</v>
      </c>
      <c r="C81" s="292">
        <v>42734</v>
      </c>
      <c r="D81" s="554">
        <v>42742</v>
      </c>
      <c r="E81" s="570" t="s">
        <v>1635</v>
      </c>
      <c r="F81" s="291"/>
      <c r="G81" s="293" t="s">
        <v>1636</v>
      </c>
      <c r="H81" s="291" t="s">
        <v>1637</v>
      </c>
      <c r="I81" s="291" t="s">
        <v>18</v>
      </c>
      <c r="J81" s="291" t="s">
        <v>51</v>
      </c>
      <c r="K81" s="291"/>
      <c r="L81" s="291" t="s">
        <v>1638</v>
      </c>
      <c r="M81" s="291"/>
      <c r="N81" s="294" t="s">
        <v>1639</v>
      </c>
      <c r="O81" s="295">
        <v>970</v>
      </c>
      <c r="P81" s="291"/>
      <c r="Q81" s="291" t="s">
        <v>1640</v>
      </c>
      <c r="R81" s="293">
        <v>1</v>
      </c>
      <c r="S81" s="293" t="s">
        <v>1343</v>
      </c>
      <c r="T81" s="293">
        <v>1</v>
      </c>
      <c r="U81" s="591">
        <v>250</v>
      </c>
      <c r="V81" s="298">
        <v>42716</v>
      </c>
      <c r="W81" s="291" t="s">
        <v>1641</v>
      </c>
      <c r="X81" s="291" t="s">
        <v>1217</v>
      </c>
      <c r="Y81" s="291"/>
      <c r="Z81" s="291"/>
    </row>
    <row r="82" spans="1:26" ht="13.8" thickBot="1">
      <c r="A82" s="710" t="s">
        <v>1653</v>
      </c>
      <c r="B82" s="723" t="s">
        <v>264</v>
      </c>
      <c r="C82" s="292">
        <v>42826</v>
      </c>
      <c r="D82" s="555">
        <v>42833</v>
      </c>
      <c r="E82" s="528" t="s">
        <v>1654</v>
      </c>
      <c r="F82" s="291"/>
      <c r="G82" s="293" t="s">
        <v>1655</v>
      </c>
      <c r="H82" s="291" t="s">
        <v>937</v>
      </c>
      <c r="I82" s="291" t="s">
        <v>18</v>
      </c>
      <c r="J82" s="291" t="s">
        <v>51</v>
      </c>
      <c r="K82" s="291" t="s">
        <v>1656</v>
      </c>
      <c r="L82" s="291" t="s">
        <v>1657</v>
      </c>
      <c r="M82" s="291"/>
      <c r="N82" s="294" t="s">
        <v>1652</v>
      </c>
      <c r="O82" s="295">
        <v>690</v>
      </c>
      <c r="P82" s="291"/>
      <c r="Q82" s="291"/>
      <c r="R82" s="293">
        <v>1</v>
      </c>
      <c r="S82" s="293">
        <v>2</v>
      </c>
      <c r="T82" s="293">
        <v>1</v>
      </c>
      <c r="U82" s="591">
        <v>177.25</v>
      </c>
      <c r="V82" s="298">
        <v>42712</v>
      </c>
      <c r="W82" s="291"/>
      <c r="X82" s="291"/>
      <c r="Y82" s="291"/>
      <c r="Z82" s="291"/>
    </row>
    <row r="83" spans="1:26" ht="13.8" thickBot="1">
      <c r="A83" s="718" t="s">
        <v>1698</v>
      </c>
      <c r="B83" s="665" t="s">
        <v>1696</v>
      </c>
      <c r="C83" s="303">
        <v>42847</v>
      </c>
      <c r="D83" s="657">
        <v>42854</v>
      </c>
      <c r="E83" s="665"/>
      <c r="F83" s="302"/>
      <c r="G83" s="304"/>
      <c r="H83" s="302" t="s">
        <v>18</v>
      </c>
      <c r="I83" s="302" t="s">
        <v>18</v>
      </c>
      <c r="J83" s="302"/>
      <c r="K83" s="302"/>
      <c r="L83" s="302" t="s">
        <v>1697</v>
      </c>
      <c r="M83" s="302"/>
      <c r="N83" s="306" t="s">
        <v>1743</v>
      </c>
      <c r="O83" s="307">
        <f>910-136.5+20+70</f>
        <v>863.5</v>
      </c>
      <c r="P83" s="302"/>
      <c r="Q83" s="302" t="s">
        <v>199</v>
      </c>
      <c r="R83" s="304">
        <v>1</v>
      </c>
      <c r="S83" s="304">
        <v>2</v>
      </c>
      <c r="T83" s="304">
        <v>1</v>
      </c>
      <c r="U83" s="592">
        <v>300</v>
      </c>
      <c r="V83" s="308">
        <v>42785</v>
      </c>
      <c r="W83" s="302" t="s">
        <v>1592</v>
      </c>
      <c r="X83" s="302"/>
      <c r="Y83" s="302"/>
      <c r="Z83" s="302"/>
    </row>
    <row r="84" spans="1:26" ht="13.2">
      <c r="A84" s="291" t="s">
        <v>1730</v>
      </c>
      <c r="B84" s="291" t="s">
        <v>1731</v>
      </c>
      <c r="C84" s="292">
        <v>42868</v>
      </c>
      <c r="D84" s="292">
        <v>42882</v>
      </c>
      <c r="E84" s="291" t="s">
        <v>1732</v>
      </c>
      <c r="F84" s="291"/>
      <c r="G84" s="293" t="s">
        <v>1733</v>
      </c>
      <c r="H84" s="291"/>
      <c r="I84" s="291" t="s">
        <v>18</v>
      </c>
      <c r="J84" s="291" t="s">
        <v>51</v>
      </c>
      <c r="K84" s="291"/>
      <c r="L84" s="291" t="s">
        <v>1734</v>
      </c>
      <c r="M84" s="291"/>
      <c r="N84" s="294" t="s">
        <v>1735</v>
      </c>
      <c r="O84" s="295">
        <v>1400</v>
      </c>
      <c r="P84" s="291"/>
      <c r="Q84" s="291" t="s">
        <v>1736</v>
      </c>
      <c r="R84" s="293">
        <v>2</v>
      </c>
      <c r="S84" s="293">
        <v>2</v>
      </c>
      <c r="T84" s="293">
        <v>2</v>
      </c>
      <c r="U84" s="591">
        <v>347.5</v>
      </c>
      <c r="V84" s="298"/>
      <c r="W84" s="291"/>
      <c r="X84" s="291"/>
      <c r="Y84" s="291"/>
      <c r="Z84" s="291"/>
    </row>
    <row r="85" spans="1:26" ht="13.2">
      <c r="A85" s="291" t="s">
        <v>1738</v>
      </c>
      <c r="B85" s="291" t="s">
        <v>1739</v>
      </c>
      <c r="C85" s="292">
        <v>42896</v>
      </c>
      <c r="D85" s="292">
        <v>42903</v>
      </c>
      <c r="E85" s="291" t="s">
        <v>1740</v>
      </c>
      <c r="F85" s="291"/>
      <c r="G85" s="293"/>
      <c r="H85" s="291" t="s">
        <v>1741</v>
      </c>
      <c r="I85" s="291" t="s">
        <v>18</v>
      </c>
      <c r="J85" s="291" t="s">
        <v>1023</v>
      </c>
      <c r="K85" s="291"/>
      <c r="L85" s="291" t="s">
        <v>1742</v>
      </c>
      <c r="M85" s="291"/>
      <c r="N85" s="194"/>
      <c r="O85" s="339">
        <f>1090 + 3*3*7</f>
        <v>1153</v>
      </c>
      <c r="P85" s="291"/>
      <c r="Q85" s="340" t="s">
        <v>1744</v>
      </c>
      <c r="R85" s="293">
        <v>1</v>
      </c>
      <c r="S85" s="293">
        <v>3</v>
      </c>
      <c r="T85" s="293">
        <v>3</v>
      </c>
      <c r="U85" s="594">
        <v>288.25</v>
      </c>
      <c r="V85" s="291"/>
      <c r="W85" s="291" t="s">
        <v>1651</v>
      </c>
      <c r="X85" s="291"/>
      <c r="Y85" s="291"/>
      <c r="Z85" s="291"/>
    </row>
    <row r="86" spans="1:26" ht="13.2">
      <c r="A86" s="291" t="s">
        <v>1642</v>
      </c>
      <c r="B86" s="291" t="s">
        <v>1643</v>
      </c>
      <c r="C86" s="292">
        <v>42903</v>
      </c>
      <c r="D86" s="292">
        <v>42917</v>
      </c>
      <c r="E86" s="291" t="s">
        <v>1644</v>
      </c>
      <c r="F86" s="291"/>
      <c r="G86" s="293" t="s">
        <v>1645</v>
      </c>
      <c r="H86" s="291" t="s">
        <v>1646</v>
      </c>
      <c r="I86" s="291" t="s">
        <v>18</v>
      </c>
      <c r="J86" s="291" t="s">
        <v>51</v>
      </c>
      <c r="K86" s="291" t="s">
        <v>1648</v>
      </c>
      <c r="L86" s="291" t="s">
        <v>1647</v>
      </c>
      <c r="M86" s="291"/>
      <c r="N86" s="294" t="s">
        <v>1649</v>
      </c>
      <c r="O86" s="295">
        <f>1190+1290</f>
        <v>2480</v>
      </c>
      <c r="P86" s="291"/>
      <c r="Q86" s="291"/>
      <c r="R86" s="293">
        <v>2</v>
      </c>
      <c r="S86" s="293" t="s">
        <v>1650</v>
      </c>
      <c r="T86" s="293">
        <v>2</v>
      </c>
      <c r="U86" s="591">
        <v>620</v>
      </c>
      <c r="V86" s="298">
        <v>42719</v>
      </c>
      <c r="W86" s="291" t="s">
        <v>1651</v>
      </c>
      <c r="X86" s="291" t="s">
        <v>1154</v>
      </c>
      <c r="Y86" s="291"/>
      <c r="Z86" s="291"/>
    </row>
    <row r="87" spans="1:26" ht="13.2">
      <c r="A87" s="291" t="s">
        <v>1745</v>
      </c>
      <c r="B87" s="291" t="s">
        <v>1746</v>
      </c>
      <c r="C87" s="292">
        <v>42917</v>
      </c>
      <c r="D87" s="292">
        <v>42924</v>
      </c>
      <c r="E87" s="291" t="s">
        <v>1747</v>
      </c>
      <c r="F87" s="291"/>
      <c r="G87" s="293" t="s">
        <v>1748</v>
      </c>
      <c r="H87" s="291" t="s">
        <v>1749</v>
      </c>
      <c r="I87" s="291" t="s">
        <v>18</v>
      </c>
      <c r="J87" s="291" t="s">
        <v>1023</v>
      </c>
      <c r="K87" s="291" t="s">
        <v>1770</v>
      </c>
      <c r="L87" s="291" t="s">
        <v>1750</v>
      </c>
      <c r="M87" s="291"/>
      <c r="N87" s="294" t="s">
        <v>1751</v>
      </c>
      <c r="O87" s="295">
        <v>1180</v>
      </c>
      <c r="P87" s="291"/>
      <c r="Q87" s="291" t="s">
        <v>1752</v>
      </c>
      <c r="R87" s="293">
        <v>1</v>
      </c>
      <c r="S87" s="293"/>
      <c r="T87" s="293">
        <v>1</v>
      </c>
      <c r="U87" s="591">
        <f>O87/4</f>
        <v>295</v>
      </c>
      <c r="V87" s="298"/>
      <c r="W87" s="291" t="s">
        <v>1651</v>
      </c>
      <c r="X87" s="291" t="s">
        <v>1217</v>
      </c>
      <c r="Y87" s="291"/>
      <c r="Z87" s="291"/>
    </row>
    <row r="88" spans="1:26" ht="10.95" customHeight="1">
      <c r="A88" s="291" t="s">
        <v>1689</v>
      </c>
      <c r="B88" s="291" t="s">
        <v>1688</v>
      </c>
      <c r="C88" s="292">
        <v>42945</v>
      </c>
      <c r="D88" s="292">
        <v>42952</v>
      </c>
      <c r="E88" s="291" t="s">
        <v>1693</v>
      </c>
      <c r="F88" s="291"/>
      <c r="G88" s="293" t="s">
        <v>1695</v>
      </c>
      <c r="H88" s="291" t="s">
        <v>1694</v>
      </c>
      <c r="I88" s="291" t="s">
        <v>18</v>
      </c>
      <c r="J88" s="291" t="s">
        <v>51</v>
      </c>
      <c r="K88" s="291"/>
      <c r="L88" s="291" t="s">
        <v>1691</v>
      </c>
      <c r="M88" s="291"/>
      <c r="N88" s="294" t="s">
        <v>1690</v>
      </c>
      <c r="O88" s="295">
        <f>1990+70</f>
        <v>2060</v>
      </c>
      <c r="P88" s="291"/>
      <c r="Q88" s="291" t="s">
        <v>1692</v>
      </c>
      <c r="R88" s="293">
        <v>1</v>
      </c>
      <c r="S88" s="293">
        <v>2</v>
      </c>
      <c r="T88" s="293">
        <v>3</v>
      </c>
      <c r="U88" s="591">
        <v>513.25</v>
      </c>
      <c r="V88" s="298">
        <v>42785</v>
      </c>
      <c r="W88" s="291" t="s">
        <v>1651</v>
      </c>
      <c r="X88" s="291" t="s">
        <v>1154</v>
      </c>
      <c r="Y88" s="291"/>
      <c r="Z88" s="291"/>
    </row>
    <row r="89" spans="1:26" s="219" customFormat="1" ht="13.2">
      <c r="A89" s="291" t="s">
        <v>1706</v>
      </c>
      <c r="B89" s="291" t="s">
        <v>1707</v>
      </c>
      <c r="C89" s="292">
        <v>42952</v>
      </c>
      <c r="D89" s="292">
        <v>42966</v>
      </c>
      <c r="E89" s="291" t="s">
        <v>1708</v>
      </c>
      <c r="F89" s="291"/>
      <c r="G89" s="293" t="s">
        <v>1709</v>
      </c>
      <c r="H89" s="291" t="s">
        <v>187</v>
      </c>
      <c r="I89" s="291" t="s">
        <v>18</v>
      </c>
      <c r="J89" s="291" t="s">
        <v>51</v>
      </c>
      <c r="K89" s="291" t="s">
        <v>1710</v>
      </c>
      <c r="L89" s="291" t="s">
        <v>1711</v>
      </c>
      <c r="M89" s="291"/>
      <c r="N89" s="294" t="s">
        <v>1712</v>
      </c>
      <c r="O89" s="295">
        <f>1990*2</f>
        <v>3980</v>
      </c>
      <c r="P89" s="291"/>
      <c r="Q89" s="291" t="s">
        <v>1713</v>
      </c>
      <c r="R89" s="293">
        <v>2</v>
      </c>
      <c r="S89" s="293">
        <v>5</v>
      </c>
      <c r="T89" s="293">
        <v>1</v>
      </c>
      <c r="U89" s="296">
        <f>1990/2</f>
        <v>995</v>
      </c>
      <c r="V89" s="298">
        <v>42799</v>
      </c>
      <c r="W89" s="291" t="s">
        <v>1651</v>
      </c>
      <c r="X89" s="291" t="s">
        <v>1154</v>
      </c>
      <c r="Y89" s="291"/>
      <c r="Z89" s="291"/>
    </row>
    <row r="90" spans="1:26" s="219" customFormat="1" ht="13.2">
      <c r="A90" s="310" t="s">
        <v>1700</v>
      </c>
      <c r="B90" s="310" t="s">
        <v>1699</v>
      </c>
      <c r="C90" s="311">
        <v>42980</v>
      </c>
      <c r="D90" s="311">
        <v>42987</v>
      </c>
      <c r="E90" s="342" t="s">
        <v>1702</v>
      </c>
      <c r="F90" s="310"/>
      <c r="G90" s="312" t="s">
        <v>1704</v>
      </c>
      <c r="H90" s="310" t="s">
        <v>1703</v>
      </c>
      <c r="I90" s="310" t="s">
        <v>18</v>
      </c>
      <c r="J90" s="310" t="s">
        <v>51</v>
      </c>
      <c r="K90" s="310"/>
      <c r="L90" s="310" t="s">
        <v>1705</v>
      </c>
      <c r="M90" s="310"/>
      <c r="N90" s="343" t="s">
        <v>1701</v>
      </c>
      <c r="O90" s="314">
        <v>1390</v>
      </c>
      <c r="P90" s="310"/>
      <c r="Q90" s="310" t="s">
        <v>1729</v>
      </c>
      <c r="R90" s="312">
        <v>1</v>
      </c>
      <c r="S90" s="312">
        <v>2</v>
      </c>
      <c r="T90" s="312">
        <v>3</v>
      </c>
      <c r="U90" s="315">
        <v>347.5</v>
      </c>
      <c r="V90" s="316">
        <v>42795</v>
      </c>
      <c r="W90" s="310" t="s">
        <v>1651</v>
      </c>
      <c r="X90" s="310" t="s">
        <v>1154</v>
      </c>
      <c r="Y90" s="310"/>
      <c r="Z90" s="310"/>
    </row>
    <row r="91" spans="1:26" s="219" customFormat="1" ht="13.2">
      <c r="A91" s="310" t="s">
        <v>1492</v>
      </c>
      <c r="B91" s="310" t="s">
        <v>264</v>
      </c>
      <c r="C91" s="311">
        <v>42980</v>
      </c>
      <c r="D91" s="311">
        <v>42994</v>
      </c>
      <c r="E91" s="310" t="s">
        <v>1491</v>
      </c>
      <c r="F91" s="310"/>
      <c r="G91" s="312" t="s">
        <v>1493</v>
      </c>
      <c r="H91" s="310" t="s">
        <v>187</v>
      </c>
      <c r="I91" s="310" t="s">
        <v>18</v>
      </c>
      <c r="J91" s="310" t="s">
        <v>51</v>
      </c>
      <c r="K91" s="310" t="s">
        <v>1494</v>
      </c>
      <c r="L91" s="310" t="s">
        <v>1495</v>
      </c>
      <c r="M91" s="310"/>
      <c r="N91" s="344" t="s">
        <v>1566</v>
      </c>
      <c r="O91" s="310"/>
      <c r="P91" s="310"/>
      <c r="Q91" s="314">
        <f>U91*4</f>
        <v>2580</v>
      </c>
      <c r="R91" s="312">
        <v>0</v>
      </c>
      <c r="S91" s="312" t="s">
        <v>1496</v>
      </c>
      <c r="T91" s="312">
        <v>2</v>
      </c>
      <c r="U91" s="315">
        <v>645</v>
      </c>
      <c r="V91" s="310">
        <v>42346</v>
      </c>
      <c r="W91" s="310" t="s">
        <v>1477</v>
      </c>
      <c r="X91" s="310" t="s">
        <v>1154</v>
      </c>
      <c r="Y91" s="310"/>
      <c r="Z91" s="310"/>
    </row>
    <row r="92" spans="1:26" s="219" customFormat="1" ht="13.2">
      <c r="A92" s="291" t="s">
        <v>1715</v>
      </c>
      <c r="B92" s="291" t="s">
        <v>1714</v>
      </c>
      <c r="C92" s="292">
        <v>42987</v>
      </c>
      <c r="D92" s="292">
        <v>42994</v>
      </c>
      <c r="E92" s="291" t="s">
        <v>1716</v>
      </c>
      <c r="F92" s="291"/>
      <c r="G92" s="293" t="s">
        <v>1717</v>
      </c>
      <c r="H92" s="291" t="s">
        <v>1718</v>
      </c>
      <c r="I92" s="291" t="s">
        <v>18</v>
      </c>
      <c r="J92" s="291" t="s">
        <v>51</v>
      </c>
      <c r="K92" s="291" t="s">
        <v>1720</v>
      </c>
      <c r="L92" s="291"/>
      <c r="M92" s="291"/>
      <c r="N92" s="294" t="s">
        <v>1719</v>
      </c>
      <c r="O92" s="295">
        <v>1190</v>
      </c>
      <c r="P92" s="291"/>
      <c r="Q92" s="295"/>
      <c r="R92" s="293">
        <v>1</v>
      </c>
      <c r="S92" s="293" t="s">
        <v>1025</v>
      </c>
      <c r="T92" s="293">
        <v>1</v>
      </c>
      <c r="U92" s="296">
        <v>298</v>
      </c>
      <c r="V92" s="291">
        <v>42800</v>
      </c>
      <c r="W92" s="291" t="s">
        <v>1651</v>
      </c>
      <c r="X92" s="291" t="s">
        <v>1154</v>
      </c>
      <c r="Y92" s="291"/>
      <c r="Z92" s="291"/>
    </row>
    <row r="93" spans="1:26" s="219" customFormat="1" ht="13.2">
      <c r="A93" s="291" t="s">
        <v>1594</v>
      </c>
      <c r="B93" s="291" t="s">
        <v>1595</v>
      </c>
      <c r="C93" s="292">
        <v>42994</v>
      </c>
      <c r="D93" s="292">
        <v>43001</v>
      </c>
      <c r="E93" s="291"/>
      <c r="F93" s="291"/>
      <c r="G93" s="293"/>
      <c r="H93" s="291" t="s">
        <v>239</v>
      </c>
      <c r="I93" s="291" t="s">
        <v>18</v>
      </c>
      <c r="J93" s="291" t="s">
        <v>51</v>
      </c>
      <c r="K93" s="291"/>
      <c r="L93" s="291" t="s">
        <v>1617</v>
      </c>
      <c r="M93" s="291"/>
      <c r="N93" s="294"/>
      <c r="O93" s="295">
        <v>700</v>
      </c>
      <c r="P93" s="291"/>
      <c r="Q93" s="291" t="s">
        <v>1618</v>
      </c>
      <c r="R93" s="293">
        <v>1</v>
      </c>
      <c r="S93" s="293" t="s">
        <v>1401</v>
      </c>
      <c r="T93" s="293">
        <v>1</v>
      </c>
      <c r="U93" s="296" t="s">
        <v>1721</v>
      </c>
      <c r="V93" s="291"/>
      <c r="W93" s="291"/>
      <c r="X93" s="291"/>
      <c r="Y93" s="291"/>
      <c r="Z93" s="291"/>
    </row>
    <row r="94" spans="1:26" s="219" customFormat="1" ht="13.2">
      <c r="A94" s="291" t="s">
        <v>1778</v>
      </c>
      <c r="B94" s="291" t="s">
        <v>1779</v>
      </c>
      <c r="C94" s="292">
        <v>43008</v>
      </c>
      <c r="D94" s="292">
        <v>43022</v>
      </c>
      <c r="E94" s="291" t="s">
        <v>1780</v>
      </c>
      <c r="F94" s="291"/>
      <c r="G94" s="293" t="s">
        <v>1781</v>
      </c>
      <c r="H94" s="291" t="s">
        <v>1782</v>
      </c>
      <c r="I94" s="291" t="s">
        <v>18</v>
      </c>
      <c r="J94" s="291" t="s">
        <v>51</v>
      </c>
      <c r="K94" s="291" t="s">
        <v>1784</v>
      </c>
      <c r="L94" s="291" t="s">
        <v>1783</v>
      </c>
      <c r="M94" s="291"/>
      <c r="N94" s="294" t="s">
        <v>1785</v>
      </c>
      <c r="O94" s="295">
        <v>1680</v>
      </c>
      <c r="P94" s="291"/>
      <c r="Q94" s="291" t="s">
        <v>1786</v>
      </c>
      <c r="R94" s="293">
        <v>2</v>
      </c>
      <c r="S94" s="293">
        <v>2</v>
      </c>
      <c r="T94" s="293">
        <v>3</v>
      </c>
      <c r="U94" s="296">
        <v>420</v>
      </c>
      <c r="V94" s="291"/>
      <c r="W94" s="291" t="s">
        <v>1760</v>
      </c>
      <c r="X94" s="291"/>
      <c r="Y94" s="291"/>
      <c r="Z94" s="291"/>
    </row>
    <row r="95" spans="1:26" s="219" customFormat="1" ht="13.2">
      <c r="A95" s="115" t="s">
        <v>1810</v>
      </c>
      <c r="B95" s="291" t="s">
        <v>396</v>
      </c>
      <c r="C95" s="292">
        <v>43022</v>
      </c>
      <c r="D95" s="292">
        <v>43029</v>
      </c>
      <c r="E95" s="291" t="s">
        <v>1765</v>
      </c>
      <c r="F95" s="291"/>
      <c r="G95" s="293" t="s">
        <v>1766</v>
      </c>
      <c r="H95" s="291" t="s">
        <v>868</v>
      </c>
      <c r="I95" s="291" t="s">
        <v>18</v>
      </c>
      <c r="J95" s="291" t="s">
        <v>51</v>
      </c>
      <c r="K95" s="291"/>
      <c r="L95" s="291" t="s">
        <v>1767</v>
      </c>
      <c r="M95" s="291"/>
      <c r="N95" s="294"/>
      <c r="O95" s="295">
        <f>690+80+70</f>
        <v>840</v>
      </c>
      <c r="P95" s="291"/>
      <c r="Q95" s="291" t="s">
        <v>1768</v>
      </c>
      <c r="R95" s="293">
        <v>1</v>
      </c>
      <c r="S95" s="293">
        <v>5</v>
      </c>
      <c r="T95" s="293">
        <v>1</v>
      </c>
      <c r="U95" s="296">
        <v>200</v>
      </c>
      <c r="V95" s="291">
        <v>42906</v>
      </c>
      <c r="W95" s="291" t="s">
        <v>1769</v>
      </c>
      <c r="X95" s="291" t="s">
        <v>1154</v>
      </c>
      <c r="Y95" s="291"/>
      <c r="Z95" s="291"/>
    </row>
    <row r="96" spans="1:26" s="225" customFormat="1" ht="13.2">
      <c r="A96" s="291" t="s">
        <v>527</v>
      </c>
      <c r="B96" s="291" t="s">
        <v>693</v>
      </c>
      <c r="C96" s="292">
        <v>43096</v>
      </c>
      <c r="D96" s="292">
        <v>42745</v>
      </c>
      <c r="E96" s="291" t="s">
        <v>1787</v>
      </c>
      <c r="F96" s="291"/>
      <c r="G96" s="293" t="s">
        <v>1788</v>
      </c>
      <c r="H96" s="291" t="s">
        <v>1789</v>
      </c>
      <c r="I96" s="291" t="s">
        <v>18</v>
      </c>
      <c r="J96" s="291" t="s">
        <v>51</v>
      </c>
      <c r="K96" s="291"/>
      <c r="L96" s="291" t="s">
        <v>1790</v>
      </c>
      <c r="M96" s="291"/>
      <c r="N96" s="294" t="s">
        <v>1791</v>
      </c>
      <c r="O96" s="295">
        <f>1090*2+21*2</f>
        <v>2222</v>
      </c>
      <c r="P96" s="291"/>
      <c r="Q96" s="291" t="s">
        <v>1025</v>
      </c>
      <c r="R96" s="293">
        <v>2</v>
      </c>
      <c r="S96" s="293">
        <v>2</v>
      </c>
      <c r="T96" s="293">
        <v>1</v>
      </c>
      <c r="U96" s="296">
        <v>556</v>
      </c>
      <c r="V96" s="291"/>
      <c r="W96" s="291" t="s">
        <v>1769</v>
      </c>
      <c r="X96" s="291"/>
      <c r="Y96" s="291"/>
      <c r="Z96" s="291"/>
    </row>
    <row r="97" spans="1:26" s="219" customFormat="1">
      <c r="A97" s="115" t="s">
        <v>1851</v>
      </c>
      <c r="B97" s="115" t="s">
        <v>1842</v>
      </c>
      <c r="C97" s="116">
        <v>43218</v>
      </c>
      <c r="D97" s="116">
        <v>43225</v>
      </c>
      <c r="E97" s="115" t="s">
        <v>1843</v>
      </c>
      <c r="F97" s="115"/>
      <c r="G97" s="361" t="s">
        <v>1844</v>
      </c>
      <c r="H97" s="364" t="s">
        <v>1845</v>
      </c>
      <c r="I97" s="115" t="s">
        <v>18</v>
      </c>
      <c r="J97" s="115" t="s">
        <v>51</v>
      </c>
      <c r="K97" s="115" t="s">
        <v>1846</v>
      </c>
      <c r="L97" s="124" t="s">
        <v>1847</v>
      </c>
      <c r="M97" s="115"/>
      <c r="N97" s="128" t="s">
        <v>1848</v>
      </c>
      <c r="O97" s="118">
        <f>790+21+70</f>
        <v>881</v>
      </c>
      <c r="P97" s="115"/>
      <c r="Q97" s="115" t="s">
        <v>1849</v>
      </c>
      <c r="R97" s="361">
        <v>1</v>
      </c>
      <c r="S97" s="361">
        <v>2</v>
      </c>
      <c r="T97" s="361">
        <v>1</v>
      </c>
      <c r="U97" s="119">
        <v>200</v>
      </c>
      <c r="V97" s="120">
        <v>43050</v>
      </c>
      <c r="W97" s="115" t="s">
        <v>1850</v>
      </c>
      <c r="X97" s="115" t="s">
        <v>1154</v>
      </c>
      <c r="Y97" s="115"/>
      <c r="Z97" s="115"/>
    </row>
    <row r="98" spans="1:26" s="219" customFormat="1">
      <c r="A98" s="115" t="s">
        <v>1852</v>
      </c>
      <c r="B98" s="115" t="s">
        <v>511</v>
      </c>
      <c r="C98" s="116">
        <v>43232</v>
      </c>
      <c r="D98" s="116">
        <v>43239</v>
      </c>
      <c r="E98" s="115" t="s">
        <v>1853</v>
      </c>
      <c r="F98" s="115"/>
      <c r="G98" s="361" t="s">
        <v>1854</v>
      </c>
      <c r="H98" s="364" t="s">
        <v>1855</v>
      </c>
      <c r="I98" s="115" t="s">
        <v>18</v>
      </c>
      <c r="J98" s="115" t="s">
        <v>51</v>
      </c>
      <c r="K98" s="115"/>
      <c r="L98" s="124" t="s">
        <v>1856</v>
      </c>
      <c r="M98" s="115"/>
      <c r="N98" s="128" t="s">
        <v>1857</v>
      </c>
      <c r="O98" s="118">
        <f>890+42+70</f>
        <v>1002</v>
      </c>
      <c r="P98" s="115"/>
      <c r="Q98" s="115" t="s">
        <v>1858</v>
      </c>
      <c r="R98" s="361">
        <v>1</v>
      </c>
      <c r="S98" s="361">
        <v>2</v>
      </c>
      <c r="T98" s="361">
        <v>2</v>
      </c>
      <c r="U98" s="119">
        <v>222.5</v>
      </c>
      <c r="V98" s="120">
        <v>43060</v>
      </c>
      <c r="W98" s="115" t="s">
        <v>1769</v>
      </c>
      <c r="X98" s="115" t="s">
        <v>1154</v>
      </c>
      <c r="Y98" s="115"/>
      <c r="Z98" s="115"/>
    </row>
    <row r="99" spans="1:26" s="219" customFormat="1" ht="13.2">
      <c r="A99" s="115" t="s">
        <v>1861</v>
      </c>
      <c r="B99" s="115" t="s">
        <v>1860</v>
      </c>
      <c r="C99" s="116">
        <v>43246</v>
      </c>
      <c r="D99" s="116">
        <v>43253</v>
      </c>
      <c r="E99" s="115" t="s">
        <v>1859</v>
      </c>
      <c r="F99" s="115"/>
      <c r="G99" s="361" t="s">
        <v>1863</v>
      </c>
      <c r="H99" s="364" t="s">
        <v>1862</v>
      </c>
      <c r="I99" s="115" t="s">
        <v>18</v>
      </c>
      <c r="J99" s="115" t="s">
        <v>51</v>
      </c>
      <c r="K99" s="115" t="s">
        <v>1864</v>
      </c>
      <c r="L99" s="124"/>
      <c r="M99" s="115"/>
      <c r="N99" s="121" t="s">
        <v>1865</v>
      </c>
      <c r="O99" s="118">
        <f>1090+70+21</f>
        <v>1181</v>
      </c>
      <c r="P99" s="115"/>
      <c r="Q99" s="115" t="s">
        <v>1922</v>
      </c>
      <c r="R99" s="361">
        <v>1</v>
      </c>
      <c r="S99" s="361" t="s">
        <v>1401</v>
      </c>
      <c r="T99" s="361">
        <v>3</v>
      </c>
      <c r="U99" s="119">
        <v>272.5</v>
      </c>
      <c r="V99" s="120"/>
      <c r="W99" s="115" t="s">
        <v>1769</v>
      </c>
      <c r="X99" s="115" t="s">
        <v>1154</v>
      </c>
      <c r="Y99" s="115"/>
      <c r="Z99" s="115"/>
    </row>
    <row r="100" spans="1:26" s="219" customFormat="1">
      <c r="A100" s="115" t="s">
        <v>1799</v>
      </c>
      <c r="B100" s="115" t="s">
        <v>1800</v>
      </c>
      <c r="C100" s="116">
        <v>43274</v>
      </c>
      <c r="D100" s="116">
        <v>43288</v>
      </c>
      <c r="E100" s="115" t="s">
        <v>1801</v>
      </c>
      <c r="F100" s="115"/>
      <c r="G100" s="361" t="s">
        <v>1802</v>
      </c>
      <c r="H100" s="115" t="s">
        <v>1803</v>
      </c>
      <c r="I100" s="115" t="s">
        <v>18</v>
      </c>
      <c r="J100" s="115" t="s">
        <v>51</v>
      </c>
      <c r="K100" s="115" t="s">
        <v>1805</v>
      </c>
      <c r="L100" s="115" t="s">
        <v>1804</v>
      </c>
      <c r="M100" s="115"/>
      <c r="N100" s="363" t="s">
        <v>1806</v>
      </c>
      <c r="O100" s="118">
        <f>1290+1390</f>
        <v>2680</v>
      </c>
      <c r="P100" s="115"/>
      <c r="Q100" s="115" t="s">
        <v>1807</v>
      </c>
      <c r="R100" s="361">
        <v>2</v>
      </c>
      <c r="S100" s="361">
        <v>4</v>
      </c>
      <c r="T100" s="361">
        <v>2</v>
      </c>
      <c r="U100" s="119"/>
      <c r="V100" s="120">
        <v>42997</v>
      </c>
      <c r="W100" s="115" t="s">
        <v>1651</v>
      </c>
      <c r="X100" s="115" t="s">
        <v>1154</v>
      </c>
      <c r="Y100" s="115"/>
      <c r="Z100" s="115"/>
    </row>
    <row r="101" spans="1:26" s="143" customFormat="1">
      <c r="A101" s="355" t="s">
        <v>1892</v>
      </c>
      <c r="B101" s="355" t="s">
        <v>406</v>
      </c>
      <c r="C101" s="357">
        <v>43309</v>
      </c>
      <c r="D101" s="357">
        <v>43316</v>
      </c>
      <c r="E101" s="355" t="s">
        <v>1893</v>
      </c>
      <c r="F101" s="355"/>
      <c r="G101" s="358" t="s">
        <v>1894</v>
      </c>
      <c r="H101" s="355" t="s">
        <v>1895</v>
      </c>
      <c r="I101" s="355" t="s">
        <v>18</v>
      </c>
      <c r="J101" s="355" t="s">
        <v>1023</v>
      </c>
      <c r="K101" s="355" t="s">
        <v>1896</v>
      </c>
      <c r="L101" s="355" t="s">
        <v>1897</v>
      </c>
      <c r="M101" s="355"/>
      <c r="N101" s="365" t="s">
        <v>1898</v>
      </c>
      <c r="O101" s="359">
        <f>1990+63</f>
        <v>2053</v>
      </c>
      <c r="P101" s="355"/>
      <c r="Q101" s="355" t="s">
        <v>1899</v>
      </c>
      <c r="R101" s="358">
        <v>1</v>
      </c>
      <c r="S101" s="358">
        <v>4</v>
      </c>
      <c r="T101" s="358">
        <v>3</v>
      </c>
      <c r="U101" s="356" t="s">
        <v>1932</v>
      </c>
      <c r="V101" s="360"/>
      <c r="W101" s="355"/>
      <c r="X101" s="355"/>
      <c r="Y101" s="355"/>
      <c r="Z101" s="355"/>
    </row>
    <row r="102" spans="1:26" s="143" customFormat="1">
      <c r="A102" s="355" t="s">
        <v>1653</v>
      </c>
      <c r="B102" s="355" t="s">
        <v>264</v>
      </c>
      <c r="C102" s="357">
        <v>43323</v>
      </c>
      <c r="D102" s="357">
        <v>43337</v>
      </c>
      <c r="E102" s="355" t="s">
        <v>1654</v>
      </c>
      <c r="F102" s="355"/>
      <c r="G102" s="358" t="s">
        <v>1655</v>
      </c>
      <c r="H102" s="355" t="s">
        <v>937</v>
      </c>
      <c r="I102" s="355" t="s">
        <v>18</v>
      </c>
      <c r="J102" s="355" t="s">
        <v>51</v>
      </c>
      <c r="K102" s="355" t="s">
        <v>1656</v>
      </c>
      <c r="L102" s="355" t="s">
        <v>1657</v>
      </c>
      <c r="M102" s="355"/>
      <c r="N102" s="365" t="s">
        <v>1652</v>
      </c>
      <c r="O102" s="359">
        <f xml:space="preserve"> 1990+1790+70</f>
        <v>3850</v>
      </c>
      <c r="P102" s="355"/>
      <c r="Q102" s="355"/>
      <c r="R102" s="358">
        <v>2</v>
      </c>
      <c r="S102" s="358">
        <v>2</v>
      </c>
      <c r="T102" s="358">
        <v>1</v>
      </c>
      <c r="U102" s="356" t="s">
        <v>1832</v>
      </c>
      <c r="V102" s="360">
        <v>42712</v>
      </c>
      <c r="W102" s="355" t="s">
        <v>1519</v>
      </c>
      <c r="X102" s="355" t="s">
        <v>1154</v>
      </c>
      <c r="Y102" s="355"/>
      <c r="Z102" s="355"/>
    </row>
    <row r="103" spans="1:26" s="143" customFormat="1">
      <c r="A103" s="115" t="s">
        <v>1022</v>
      </c>
      <c r="B103" s="115" t="s">
        <v>1815</v>
      </c>
      <c r="C103" s="116">
        <v>43344</v>
      </c>
      <c r="D103" s="116">
        <v>43358</v>
      </c>
      <c r="E103" s="115" t="s">
        <v>1816</v>
      </c>
      <c r="F103" s="115"/>
      <c r="G103" s="361" t="s">
        <v>1817</v>
      </c>
      <c r="H103" s="364" t="s">
        <v>1818</v>
      </c>
      <c r="I103" s="115" t="s">
        <v>18</v>
      </c>
      <c r="J103" s="115" t="s">
        <v>51</v>
      </c>
      <c r="K103" s="124" t="s">
        <v>1819</v>
      </c>
      <c r="L103" s="124" t="s">
        <v>1820</v>
      </c>
      <c r="M103" s="115"/>
      <c r="N103" s="128" t="s">
        <v>1020</v>
      </c>
      <c r="O103" s="118">
        <f>1390+1190+70+2*14*3</f>
        <v>2734</v>
      </c>
      <c r="P103" s="115"/>
      <c r="Q103" s="115" t="s">
        <v>1821</v>
      </c>
      <c r="R103" s="361">
        <v>2</v>
      </c>
      <c r="S103" s="361">
        <v>2</v>
      </c>
      <c r="T103" s="361">
        <v>2</v>
      </c>
      <c r="U103" s="119">
        <v>663</v>
      </c>
      <c r="V103" s="120">
        <v>43041</v>
      </c>
      <c r="W103" s="115"/>
      <c r="X103" s="115" t="s">
        <v>1154</v>
      </c>
      <c r="Y103" s="115"/>
      <c r="Z103" s="115"/>
    </row>
    <row r="104" spans="1:26" s="143" customFormat="1">
      <c r="A104" s="355" t="s">
        <v>1866</v>
      </c>
      <c r="B104" s="355" t="s">
        <v>1867</v>
      </c>
      <c r="C104" s="357">
        <v>43358</v>
      </c>
      <c r="D104" s="357">
        <v>43372</v>
      </c>
      <c r="E104" s="355" t="s">
        <v>1868</v>
      </c>
      <c r="F104" s="355"/>
      <c r="G104" s="358" t="s">
        <v>1869</v>
      </c>
      <c r="H104" s="367" t="s">
        <v>1870</v>
      </c>
      <c r="I104" s="355" t="s">
        <v>18</v>
      </c>
      <c r="J104" s="355" t="s">
        <v>51</v>
      </c>
      <c r="K104" s="368"/>
      <c r="L104" s="368" t="s">
        <v>1871</v>
      </c>
      <c r="M104" s="355"/>
      <c r="N104" s="365" t="s">
        <v>1872</v>
      </c>
      <c r="O104" s="359">
        <f>1090+1190+70+42</f>
        <v>2392</v>
      </c>
      <c r="P104" s="355"/>
      <c r="Q104" s="355" t="s">
        <v>1873</v>
      </c>
      <c r="R104" s="358">
        <v>2</v>
      </c>
      <c r="S104" s="358">
        <v>2</v>
      </c>
      <c r="T104" s="358">
        <v>1</v>
      </c>
      <c r="U104" s="356" t="s">
        <v>1832</v>
      </c>
      <c r="V104" s="360">
        <v>43074</v>
      </c>
      <c r="W104" s="355" t="s">
        <v>1477</v>
      </c>
      <c r="X104" s="355" t="s">
        <v>1154</v>
      </c>
      <c r="Y104" s="355"/>
      <c r="Z104" s="355"/>
    </row>
    <row r="105" spans="1:26" s="143" customFormat="1" ht="13.2">
      <c r="A105" s="355" t="s">
        <v>1961</v>
      </c>
      <c r="B105" s="355" t="s">
        <v>1962</v>
      </c>
      <c r="C105" s="357">
        <v>43372</v>
      </c>
      <c r="D105" s="357">
        <v>43379</v>
      </c>
      <c r="E105" s="355" t="s">
        <v>1963</v>
      </c>
      <c r="F105" s="355"/>
      <c r="G105" s="358" t="s">
        <v>1964</v>
      </c>
      <c r="H105" s="367" t="s">
        <v>1965</v>
      </c>
      <c r="I105" s="355" t="s">
        <v>18</v>
      </c>
      <c r="J105" s="355" t="s">
        <v>1023</v>
      </c>
      <c r="K105" s="368"/>
      <c r="L105" s="368" t="s">
        <v>1966</v>
      </c>
      <c r="M105" s="355"/>
      <c r="N105" s="401" t="s">
        <v>1967</v>
      </c>
      <c r="O105" s="359">
        <f>890+21+70</f>
        <v>981</v>
      </c>
      <c r="P105" s="355"/>
      <c r="Q105" s="355" t="s">
        <v>1968</v>
      </c>
      <c r="R105" s="358">
        <v>1</v>
      </c>
      <c r="S105" s="358">
        <v>2</v>
      </c>
      <c r="T105" s="358">
        <v>1</v>
      </c>
      <c r="U105" s="356" t="s">
        <v>1832</v>
      </c>
      <c r="V105" s="360">
        <v>43354</v>
      </c>
      <c r="W105" s="355" t="s">
        <v>1477</v>
      </c>
      <c r="X105" s="355" t="s">
        <v>1154</v>
      </c>
      <c r="Y105" s="355"/>
      <c r="Z105" s="355"/>
    </row>
    <row r="106" spans="1:26" s="143" customFormat="1" ht="13.2">
      <c r="A106" s="383" t="s">
        <v>1834</v>
      </c>
      <c r="B106" s="383" t="s">
        <v>1835</v>
      </c>
      <c r="C106" s="384">
        <v>43386</v>
      </c>
      <c r="D106" s="384">
        <v>43393</v>
      </c>
      <c r="E106" s="383" t="s">
        <v>1836</v>
      </c>
      <c r="F106" s="383"/>
      <c r="G106" s="385" t="s">
        <v>1837</v>
      </c>
      <c r="H106" s="386" t="s">
        <v>1838</v>
      </c>
      <c r="I106" s="383" t="s">
        <v>18</v>
      </c>
      <c r="J106" s="383" t="s">
        <v>51</v>
      </c>
      <c r="K106" s="383"/>
      <c r="L106" s="387" t="s">
        <v>1839</v>
      </c>
      <c r="M106" s="383"/>
      <c r="N106" s="388" t="s">
        <v>1840</v>
      </c>
      <c r="O106" s="389"/>
      <c r="P106" s="383"/>
      <c r="Q106" s="383" t="s">
        <v>1841</v>
      </c>
      <c r="R106" s="385"/>
      <c r="S106" s="385">
        <v>5</v>
      </c>
      <c r="T106" s="385">
        <v>2</v>
      </c>
      <c r="U106" s="609"/>
      <c r="V106" s="391">
        <v>43046</v>
      </c>
      <c r="W106" s="383"/>
      <c r="X106" s="383" t="s">
        <v>1154</v>
      </c>
      <c r="Y106" s="383"/>
      <c r="Z106" s="383"/>
    </row>
    <row r="107" spans="1:26" s="225" customFormat="1" ht="13.2">
      <c r="A107" s="408" t="s">
        <v>1923</v>
      </c>
      <c r="B107" s="408" t="s">
        <v>1924</v>
      </c>
      <c r="C107" s="409">
        <v>43387</v>
      </c>
      <c r="D107" s="409">
        <v>43400</v>
      </c>
      <c r="E107" s="408" t="s">
        <v>1925</v>
      </c>
      <c r="F107" s="408"/>
      <c r="G107" s="410" t="s">
        <v>1926</v>
      </c>
      <c r="H107" s="411" t="s">
        <v>1927</v>
      </c>
      <c r="I107" s="408" t="s">
        <v>18</v>
      </c>
      <c r="J107" s="408" t="s">
        <v>51</v>
      </c>
      <c r="K107" s="408" t="s">
        <v>1928</v>
      </c>
      <c r="L107" s="412" t="s">
        <v>1929</v>
      </c>
      <c r="M107" s="408"/>
      <c r="N107" s="413" t="s">
        <v>1930</v>
      </c>
      <c r="O107" s="414">
        <v>1380</v>
      </c>
      <c r="P107" s="408"/>
      <c r="Q107" s="408" t="s">
        <v>1931</v>
      </c>
      <c r="R107" s="410">
        <v>2</v>
      </c>
      <c r="S107" s="410">
        <v>3</v>
      </c>
      <c r="T107" s="410">
        <v>3</v>
      </c>
      <c r="U107" s="415" t="s">
        <v>1932</v>
      </c>
      <c r="V107" s="416">
        <v>43262</v>
      </c>
      <c r="W107" s="408" t="s">
        <v>1477</v>
      </c>
      <c r="X107" s="408" t="s">
        <v>1154</v>
      </c>
      <c r="Y107" s="408" t="s">
        <v>1980</v>
      </c>
      <c r="Z107" s="408"/>
    </row>
    <row r="108" spans="1:26" s="143" customFormat="1" ht="13.2">
      <c r="A108" s="372" t="s">
        <v>527</v>
      </c>
      <c r="B108" s="372" t="s">
        <v>693</v>
      </c>
      <c r="C108" s="373">
        <v>43460</v>
      </c>
      <c r="D108" s="373">
        <v>43474</v>
      </c>
      <c r="E108" s="372" t="s">
        <v>1787</v>
      </c>
      <c r="F108" s="372"/>
      <c r="G108" s="374" t="s">
        <v>1788</v>
      </c>
      <c r="H108" s="372" t="s">
        <v>1789</v>
      </c>
      <c r="I108" s="372" t="s">
        <v>18</v>
      </c>
      <c r="J108" s="372" t="s">
        <v>51</v>
      </c>
      <c r="K108" s="372"/>
      <c r="L108" s="372" t="s">
        <v>1790</v>
      </c>
      <c r="M108" s="372"/>
      <c r="N108" s="375" t="s">
        <v>1791</v>
      </c>
      <c r="O108" s="376">
        <f>1090*2</f>
        <v>2180</v>
      </c>
      <c r="P108" s="372"/>
      <c r="Q108" s="372" t="s">
        <v>1025</v>
      </c>
      <c r="R108" s="374">
        <v>2</v>
      </c>
      <c r="S108" s="374">
        <v>2</v>
      </c>
      <c r="T108" s="374">
        <v>1</v>
      </c>
      <c r="U108" s="478" t="s">
        <v>1920</v>
      </c>
      <c r="V108" s="372">
        <v>43180</v>
      </c>
      <c r="W108" s="372" t="s">
        <v>1769</v>
      </c>
      <c r="X108" s="355" t="s">
        <v>1154</v>
      </c>
      <c r="Y108" s="372"/>
      <c r="Z108" s="372"/>
    </row>
    <row r="109" spans="1:26" ht="13.8" thickBot="1">
      <c r="A109" s="355" t="s">
        <v>2008</v>
      </c>
      <c r="B109" s="355" t="s">
        <v>1588</v>
      </c>
      <c r="C109" s="357">
        <v>43561</v>
      </c>
      <c r="D109" s="357">
        <v>43575</v>
      </c>
      <c r="E109" s="355" t="s">
        <v>2009</v>
      </c>
      <c r="F109" s="355"/>
      <c r="G109" s="358" t="s">
        <v>2010</v>
      </c>
      <c r="H109" s="367" t="s">
        <v>2011</v>
      </c>
      <c r="I109" s="355" t="s">
        <v>18</v>
      </c>
      <c r="J109" s="355" t="s">
        <v>1023</v>
      </c>
      <c r="K109" s="355"/>
      <c r="L109" s="368" t="s">
        <v>2012</v>
      </c>
      <c r="M109" s="355"/>
      <c r="N109" s="401" t="s">
        <v>2013</v>
      </c>
      <c r="O109" s="359">
        <f>790*2</f>
        <v>1580</v>
      </c>
      <c r="P109" s="355"/>
      <c r="Q109" s="355" t="s">
        <v>2014</v>
      </c>
      <c r="R109" s="358">
        <v>2</v>
      </c>
      <c r="S109" s="358">
        <v>5</v>
      </c>
      <c r="T109" s="358">
        <v>1</v>
      </c>
      <c r="U109" s="417" t="s">
        <v>1154</v>
      </c>
      <c r="V109" s="360"/>
      <c r="W109" s="355"/>
      <c r="X109" s="355"/>
      <c r="Y109" s="355"/>
      <c r="Z109" s="355"/>
    </row>
    <row r="110" spans="1:26" ht="13.8" thickBot="1">
      <c r="A110" s="720" t="s">
        <v>527</v>
      </c>
      <c r="B110" s="731" t="s">
        <v>2223</v>
      </c>
      <c r="C110" s="357">
        <v>43582</v>
      </c>
      <c r="D110" s="749">
        <v>43596</v>
      </c>
      <c r="E110" s="731" t="s">
        <v>2224</v>
      </c>
      <c r="F110" s="355"/>
      <c r="G110" s="358" t="s">
        <v>2225</v>
      </c>
      <c r="H110" s="367" t="s">
        <v>2226</v>
      </c>
      <c r="I110" s="355" t="s">
        <v>18</v>
      </c>
      <c r="J110" s="355" t="s">
        <v>1023</v>
      </c>
      <c r="K110" s="355"/>
      <c r="L110" s="368" t="s">
        <v>2227</v>
      </c>
      <c r="M110" s="355"/>
      <c r="N110" s="401" t="s">
        <v>2228</v>
      </c>
      <c r="O110" s="359">
        <f xml:space="preserve"> 790+890</f>
        <v>1680</v>
      </c>
      <c r="P110" s="355"/>
      <c r="Q110" s="355" t="s">
        <v>2229</v>
      </c>
      <c r="R110" s="358">
        <v>2</v>
      </c>
      <c r="S110" s="358">
        <v>2</v>
      </c>
      <c r="T110" s="358">
        <v>3</v>
      </c>
      <c r="U110" s="478" t="s">
        <v>1832</v>
      </c>
      <c r="V110" s="360"/>
      <c r="W110" s="355"/>
      <c r="X110" s="355"/>
      <c r="Y110" s="355"/>
      <c r="Z110" s="355"/>
    </row>
    <row r="111" spans="1:26" ht="13.8" thickBot="1">
      <c r="A111" s="511" t="s">
        <v>2254</v>
      </c>
      <c r="B111" s="535" t="s">
        <v>2253</v>
      </c>
      <c r="C111" s="548">
        <v>43603</v>
      </c>
      <c r="D111" s="561">
        <v>43610</v>
      </c>
      <c r="E111" s="543" t="s">
        <v>2255</v>
      </c>
      <c r="F111" s="115"/>
      <c r="G111" s="361" t="s">
        <v>2256</v>
      </c>
      <c r="H111" s="364" t="s">
        <v>2257</v>
      </c>
      <c r="I111" s="115" t="s">
        <v>18</v>
      </c>
      <c r="J111" s="115" t="s">
        <v>19</v>
      </c>
      <c r="K111" s="115"/>
      <c r="L111" s="124" t="s">
        <v>2258</v>
      </c>
      <c r="M111" s="115"/>
      <c r="N111" s="121" t="s">
        <v>2259</v>
      </c>
      <c r="O111" s="118">
        <v>990</v>
      </c>
      <c r="P111" s="115"/>
      <c r="Q111" s="115" t="s">
        <v>2260</v>
      </c>
      <c r="R111" s="361">
        <v>1</v>
      </c>
      <c r="S111" s="361">
        <v>4</v>
      </c>
      <c r="T111" s="361">
        <v>1</v>
      </c>
      <c r="U111" s="129">
        <v>250</v>
      </c>
      <c r="V111" s="115">
        <v>43550</v>
      </c>
      <c r="W111" s="120" t="s">
        <v>1477</v>
      </c>
      <c r="X111" s="115"/>
      <c r="Y111" s="115"/>
      <c r="Z111" s="115"/>
    </row>
    <row r="112" spans="1:26" ht="13.8" thickBot="1">
      <c r="A112" s="451" t="s">
        <v>1982</v>
      </c>
      <c r="B112" s="451" t="s">
        <v>1983</v>
      </c>
      <c r="C112" s="452">
        <v>43231</v>
      </c>
      <c r="D112" s="655">
        <v>43245</v>
      </c>
      <c r="E112" s="664" t="s">
        <v>1984</v>
      </c>
      <c r="F112" s="451"/>
      <c r="G112" s="453" t="s">
        <v>1985</v>
      </c>
      <c r="H112" s="474" t="s">
        <v>1986</v>
      </c>
      <c r="I112" s="451" t="s">
        <v>18</v>
      </c>
      <c r="J112" s="451" t="s">
        <v>51</v>
      </c>
      <c r="K112" s="451"/>
      <c r="L112" s="475" t="s">
        <v>1987</v>
      </c>
      <c r="M112" s="451"/>
      <c r="N112" s="454" t="s">
        <v>1981</v>
      </c>
      <c r="O112" s="455"/>
      <c r="P112" s="451"/>
      <c r="Q112" s="451" t="s">
        <v>1988</v>
      </c>
      <c r="R112" s="453"/>
      <c r="S112" s="453">
        <v>4</v>
      </c>
      <c r="T112" s="453">
        <v>2</v>
      </c>
      <c r="U112" s="473"/>
      <c r="V112" s="456" t="s">
        <v>1989</v>
      </c>
      <c r="W112" s="451"/>
      <c r="X112" s="451"/>
      <c r="Y112" s="451"/>
      <c r="Z112" s="451"/>
    </row>
    <row r="113" spans="1:26" ht="10.8" thickBot="1">
      <c r="A113" s="717" t="s">
        <v>1669</v>
      </c>
      <c r="B113" s="729" t="s">
        <v>2201</v>
      </c>
      <c r="C113" s="116">
        <v>43617</v>
      </c>
      <c r="D113" s="561">
        <v>43624</v>
      </c>
      <c r="E113" s="543" t="s">
        <v>2202</v>
      </c>
      <c r="F113" s="115"/>
      <c r="G113" s="361" t="s">
        <v>2203</v>
      </c>
      <c r="H113" s="115" t="s">
        <v>2204</v>
      </c>
      <c r="I113" s="115" t="s">
        <v>18</v>
      </c>
      <c r="J113" s="115" t="s">
        <v>1023</v>
      </c>
      <c r="K113" s="115"/>
      <c r="L113" s="115" t="s">
        <v>2205</v>
      </c>
      <c r="M113" s="115"/>
      <c r="N113" s="363"/>
      <c r="O113" s="118">
        <v>1090</v>
      </c>
      <c r="P113" s="115"/>
      <c r="Q113" s="115" t="s">
        <v>600</v>
      </c>
      <c r="R113" s="361">
        <v>1</v>
      </c>
      <c r="S113" s="361">
        <v>3</v>
      </c>
      <c r="T113" s="361">
        <v>1</v>
      </c>
      <c r="U113" s="129"/>
      <c r="V113" s="115">
        <v>43486</v>
      </c>
      <c r="W113" s="120" t="s">
        <v>2206</v>
      </c>
      <c r="X113" s="115" t="s">
        <v>1154</v>
      </c>
      <c r="Y113" s="115"/>
      <c r="Z113" s="115"/>
    </row>
    <row r="114" spans="1:26" ht="13.8" thickBot="1">
      <c r="A114" s="355" t="s">
        <v>2026</v>
      </c>
      <c r="B114" s="355" t="s">
        <v>1953</v>
      </c>
      <c r="C114" s="357">
        <v>43624</v>
      </c>
      <c r="D114" s="565">
        <v>43638</v>
      </c>
      <c r="E114" s="576" t="s">
        <v>1954</v>
      </c>
      <c r="F114" s="355"/>
      <c r="G114" s="358" t="s">
        <v>1955</v>
      </c>
      <c r="H114" s="355" t="s">
        <v>1956</v>
      </c>
      <c r="I114" s="355" t="s">
        <v>18</v>
      </c>
      <c r="J114" s="355" t="s">
        <v>1023</v>
      </c>
      <c r="K114" s="355" t="s">
        <v>1957</v>
      </c>
      <c r="L114" s="355" t="s">
        <v>1958</v>
      </c>
      <c r="M114" s="355"/>
      <c r="N114" s="401"/>
      <c r="O114" s="359">
        <f>1090+1190</f>
        <v>2280</v>
      </c>
      <c r="P114" s="355"/>
      <c r="Q114" s="355" t="s">
        <v>599</v>
      </c>
      <c r="R114" s="358">
        <v>2</v>
      </c>
      <c r="S114" s="358">
        <v>2</v>
      </c>
      <c r="T114" s="358">
        <v>2</v>
      </c>
      <c r="U114" s="417" t="s">
        <v>1960</v>
      </c>
      <c r="V114" s="360"/>
      <c r="W114" s="355"/>
      <c r="X114" s="355"/>
      <c r="Y114" s="355"/>
      <c r="Z114" s="355"/>
    </row>
    <row r="115" spans="1:26" ht="13.8" thickBot="1">
      <c r="A115" s="720" t="s">
        <v>2232</v>
      </c>
      <c r="B115" s="731" t="s">
        <v>2233</v>
      </c>
      <c r="C115" s="357">
        <v>43638</v>
      </c>
      <c r="D115" s="557">
        <v>43645</v>
      </c>
      <c r="E115" s="540" t="s">
        <v>2234</v>
      </c>
      <c r="F115" s="355"/>
      <c r="G115" s="358" t="s">
        <v>2235</v>
      </c>
      <c r="H115" s="355" t="s">
        <v>2236</v>
      </c>
      <c r="I115" s="355" t="s">
        <v>18</v>
      </c>
      <c r="J115" s="355" t="s">
        <v>1023</v>
      </c>
      <c r="K115" s="355"/>
      <c r="L115" s="401" t="s">
        <v>2237</v>
      </c>
      <c r="M115" s="355"/>
      <c r="N115" s="401" t="s">
        <v>2238</v>
      </c>
      <c r="O115" s="359">
        <v>1290</v>
      </c>
      <c r="P115" s="355"/>
      <c r="Q115" s="355">
        <v>1</v>
      </c>
      <c r="R115" s="358">
        <v>1</v>
      </c>
      <c r="S115" s="358">
        <v>2</v>
      </c>
      <c r="T115" s="358">
        <v>1</v>
      </c>
      <c r="U115" s="417" t="s">
        <v>2239</v>
      </c>
      <c r="V115" s="360"/>
      <c r="W115" s="355"/>
      <c r="X115" s="355"/>
      <c r="Y115" s="355"/>
      <c r="Z115" s="355"/>
    </row>
    <row r="116" spans="1:26" ht="13.8" thickBot="1">
      <c r="A116" s="511" t="s">
        <v>1937</v>
      </c>
      <c r="B116" s="535" t="s">
        <v>1938</v>
      </c>
      <c r="C116" s="116">
        <v>43645</v>
      </c>
      <c r="D116" s="568">
        <v>43659</v>
      </c>
      <c r="E116" s="535" t="s">
        <v>1939</v>
      </c>
      <c r="F116" s="115"/>
      <c r="G116" s="361" t="s">
        <v>1940</v>
      </c>
      <c r="H116" s="115" t="s">
        <v>1941</v>
      </c>
      <c r="I116" s="364" t="s">
        <v>18</v>
      </c>
      <c r="J116" s="115" t="s">
        <v>51</v>
      </c>
      <c r="K116" s="115"/>
      <c r="L116" s="115" t="s">
        <v>1942</v>
      </c>
      <c r="M116" s="115"/>
      <c r="N116" s="121" t="s">
        <v>1943</v>
      </c>
      <c r="O116" s="118">
        <f>1390+1590</f>
        <v>2980</v>
      </c>
      <c r="P116" s="115"/>
      <c r="Q116" s="115" t="s">
        <v>599</v>
      </c>
      <c r="R116" s="361">
        <v>2</v>
      </c>
      <c r="S116" s="361" t="s">
        <v>1944</v>
      </c>
      <c r="T116" s="361">
        <v>2</v>
      </c>
      <c r="U116" s="129" t="s">
        <v>2025</v>
      </c>
      <c r="V116" s="120"/>
      <c r="W116" s="115"/>
      <c r="X116" s="115"/>
      <c r="Y116" s="115"/>
      <c r="Z116" s="115"/>
    </row>
    <row r="117" spans="1:26" ht="13.2">
      <c r="A117" s="115" t="s">
        <v>1946</v>
      </c>
      <c r="B117" s="115" t="s">
        <v>1947</v>
      </c>
      <c r="C117" s="116">
        <v>43659</v>
      </c>
      <c r="D117" s="116">
        <v>43673</v>
      </c>
      <c r="E117" s="115" t="s">
        <v>1948</v>
      </c>
      <c r="F117" s="115"/>
      <c r="G117" s="361" t="s">
        <v>1949</v>
      </c>
      <c r="H117" s="115" t="s">
        <v>1950</v>
      </c>
      <c r="I117" s="115" t="s">
        <v>18</v>
      </c>
      <c r="J117" s="115" t="s">
        <v>1023</v>
      </c>
      <c r="K117" s="115"/>
      <c r="L117" s="115" t="s">
        <v>1951</v>
      </c>
      <c r="M117" s="115"/>
      <c r="N117" s="121" t="s">
        <v>2425</v>
      </c>
      <c r="O117" s="118">
        <v>3980</v>
      </c>
      <c r="P117" s="115"/>
      <c r="Q117" s="115" t="s">
        <v>600</v>
      </c>
      <c r="R117" s="361">
        <v>2</v>
      </c>
      <c r="S117" s="361">
        <v>6</v>
      </c>
      <c r="T117" s="361">
        <v>1</v>
      </c>
      <c r="U117" s="598">
        <v>995</v>
      </c>
      <c r="V117" s="120"/>
      <c r="W117" s="115"/>
      <c r="X117" s="115"/>
      <c r="Y117" s="115"/>
      <c r="Z117" s="115"/>
    </row>
    <row r="118" spans="1:26" ht="13.2">
      <c r="A118" s="355" t="s">
        <v>2355</v>
      </c>
      <c r="B118" s="355" t="s">
        <v>2356</v>
      </c>
      <c r="C118" s="357">
        <v>43708</v>
      </c>
      <c r="D118" s="357">
        <v>43715</v>
      </c>
      <c r="E118" s="355" t="s">
        <v>2357</v>
      </c>
      <c r="F118" s="355"/>
      <c r="G118" s="358" t="s">
        <v>2358</v>
      </c>
      <c r="H118" s="355" t="s">
        <v>2359</v>
      </c>
      <c r="I118" s="355" t="s">
        <v>18</v>
      </c>
      <c r="J118" s="355" t="s">
        <v>1023</v>
      </c>
      <c r="K118" s="355"/>
      <c r="L118" s="355" t="s">
        <v>2360</v>
      </c>
      <c r="M118" s="355"/>
      <c r="N118" s="401" t="s">
        <v>2361</v>
      </c>
      <c r="O118" s="359">
        <f>1100+70+63</f>
        <v>1233</v>
      </c>
      <c r="P118" s="355"/>
      <c r="Q118" s="355" t="s">
        <v>2362</v>
      </c>
      <c r="R118" s="358">
        <v>1</v>
      </c>
      <c r="S118" s="358">
        <v>2</v>
      </c>
      <c r="T118" s="358">
        <v>3</v>
      </c>
      <c r="U118" s="478" t="s">
        <v>1154</v>
      </c>
      <c r="V118" s="360">
        <v>43703</v>
      </c>
      <c r="W118" s="355" t="s">
        <v>1477</v>
      </c>
      <c r="X118" s="355"/>
      <c r="Y118" s="355"/>
      <c r="Z118" s="355"/>
    </row>
    <row r="119" spans="1:26" ht="58.95" customHeight="1">
      <c r="A119" s="115" t="s">
        <v>2016</v>
      </c>
      <c r="B119" s="291" t="s">
        <v>2017</v>
      </c>
      <c r="C119" s="116">
        <v>43715</v>
      </c>
      <c r="D119" s="116">
        <v>43729</v>
      </c>
      <c r="E119" s="115" t="s">
        <v>2018</v>
      </c>
      <c r="F119" s="291"/>
      <c r="G119" s="361" t="s">
        <v>2019</v>
      </c>
      <c r="H119" s="115" t="s">
        <v>2020</v>
      </c>
      <c r="I119" s="115" t="s">
        <v>18</v>
      </c>
      <c r="J119" s="115" t="s">
        <v>1023</v>
      </c>
      <c r="K119" s="291"/>
      <c r="L119" s="115" t="s">
        <v>2021</v>
      </c>
      <c r="M119" s="291"/>
      <c r="N119" s="121" t="s">
        <v>2022</v>
      </c>
      <c r="O119" s="295">
        <f>1290+1390</f>
        <v>2680</v>
      </c>
      <c r="P119" s="291"/>
      <c r="Q119" s="115" t="s">
        <v>2023</v>
      </c>
      <c r="R119" s="293">
        <v>2</v>
      </c>
      <c r="S119" s="293">
        <v>2</v>
      </c>
      <c r="T119" s="293">
        <v>2</v>
      </c>
      <c r="U119" s="598" t="s">
        <v>2024</v>
      </c>
      <c r="V119" s="298">
        <v>43410</v>
      </c>
      <c r="W119" s="115"/>
      <c r="X119" s="291"/>
      <c r="Y119" s="291"/>
      <c r="Z119" s="291"/>
    </row>
    <row r="120" spans="1:26" ht="14.4">
      <c r="A120" s="497" t="s">
        <v>2332</v>
      </c>
      <c r="B120" s="355" t="s">
        <v>2333</v>
      </c>
      <c r="C120" s="357">
        <v>43729</v>
      </c>
      <c r="D120" s="357">
        <v>43736</v>
      </c>
      <c r="E120" s="355" t="s">
        <v>2334</v>
      </c>
      <c r="F120" s="355"/>
      <c r="G120" s="358" t="s">
        <v>2335</v>
      </c>
      <c r="H120" s="355" t="s">
        <v>2336</v>
      </c>
      <c r="I120" s="355" t="s">
        <v>18</v>
      </c>
      <c r="J120" s="355" t="s">
        <v>51</v>
      </c>
      <c r="K120" s="355" t="s">
        <v>2338</v>
      </c>
      <c r="L120" s="355" t="s">
        <v>2337</v>
      </c>
      <c r="M120" s="355"/>
      <c r="N120" s="365" t="s">
        <v>2331</v>
      </c>
      <c r="O120" s="359">
        <v>1190</v>
      </c>
      <c r="P120" s="355"/>
      <c r="Q120" s="355" t="s">
        <v>2023</v>
      </c>
      <c r="R120" s="358">
        <v>1</v>
      </c>
      <c r="S120" s="358">
        <v>2</v>
      </c>
      <c r="T120" s="358">
        <v>2</v>
      </c>
      <c r="U120" s="478" t="s">
        <v>2339</v>
      </c>
      <c r="V120" s="360">
        <v>43702</v>
      </c>
      <c r="W120" s="355" t="s">
        <v>1477</v>
      </c>
      <c r="X120" s="355"/>
      <c r="Y120" s="355"/>
      <c r="Z120" s="355"/>
    </row>
    <row r="121" spans="1:26" s="143" customFormat="1" ht="13.2">
      <c r="A121" s="498" t="s">
        <v>2179</v>
      </c>
      <c r="B121" s="498" t="s">
        <v>2180</v>
      </c>
      <c r="C121" s="499">
        <v>43736</v>
      </c>
      <c r="D121" s="499">
        <v>43743</v>
      </c>
      <c r="E121" s="498" t="s">
        <v>2181</v>
      </c>
      <c r="F121" s="498"/>
      <c r="G121" s="500" t="s">
        <v>1992</v>
      </c>
      <c r="H121" s="498"/>
      <c r="I121" s="498" t="s">
        <v>18</v>
      </c>
      <c r="J121" s="498" t="s">
        <v>1023</v>
      </c>
      <c r="K121" s="498"/>
      <c r="L121" s="498" t="s">
        <v>2182</v>
      </c>
      <c r="M121" s="498"/>
      <c r="N121" s="501" t="s">
        <v>2183</v>
      </c>
      <c r="O121" s="502">
        <f>990+42</f>
        <v>1032</v>
      </c>
      <c r="P121" s="498"/>
      <c r="Q121" s="498" t="s">
        <v>2372</v>
      </c>
      <c r="R121" s="500">
        <v>1</v>
      </c>
      <c r="S121" s="500">
        <v>2</v>
      </c>
      <c r="T121" s="500">
        <v>2</v>
      </c>
      <c r="U121" s="503" t="s">
        <v>2354</v>
      </c>
      <c r="V121" s="504">
        <v>43461</v>
      </c>
      <c r="W121" s="498"/>
      <c r="X121" s="498"/>
      <c r="Y121" s="498"/>
      <c r="Z121" s="498"/>
    </row>
    <row r="122" spans="1:26" s="143" customFormat="1" ht="13.2">
      <c r="A122" s="115" t="s">
        <v>2215</v>
      </c>
      <c r="B122" s="115" t="s">
        <v>2216</v>
      </c>
      <c r="C122" s="116">
        <v>43743</v>
      </c>
      <c r="D122" s="116">
        <v>43750</v>
      </c>
      <c r="E122" s="115" t="s">
        <v>2217</v>
      </c>
      <c r="F122" s="115"/>
      <c r="G122" s="361" t="s">
        <v>2218</v>
      </c>
      <c r="H122" s="115" t="s">
        <v>2219</v>
      </c>
      <c r="I122" s="115" t="s">
        <v>18</v>
      </c>
      <c r="J122" s="115" t="s">
        <v>51</v>
      </c>
      <c r="K122" s="115"/>
      <c r="L122" s="115" t="s">
        <v>2220</v>
      </c>
      <c r="M122" s="115"/>
      <c r="N122" s="121" t="s">
        <v>2221</v>
      </c>
      <c r="O122" s="118">
        <v>890</v>
      </c>
      <c r="P122" s="115"/>
      <c r="Q122" s="115" t="s">
        <v>2222</v>
      </c>
      <c r="R122" s="361">
        <v>1</v>
      </c>
      <c r="S122" s="361">
        <v>6</v>
      </c>
      <c r="T122" s="361">
        <v>2</v>
      </c>
      <c r="U122" s="119"/>
      <c r="V122" s="120"/>
      <c r="W122" s="115"/>
      <c r="X122" s="115"/>
      <c r="Y122" s="115"/>
      <c r="Z122" s="115"/>
    </row>
    <row r="123" spans="1:26" s="143" customFormat="1" ht="13.2">
      <c r="A123" s="115" t="s">
        <v>1996</v>
      </c>
      <c r="B123" s="115" t="s">
        <v>1990</v>
      </c>
      <c r="C123" s="116">
        <v>43757</v>
      </c>
      <c r="D123" s="116">
        <v>43764</v>
      </c>
      <c r="E123" s="115" t="s">
        <v>1991</v>
      </c>
      <c r="F123" s="115"/>
      <c r="G123" s="361" t="s">
        <v>1992</v>
      </c>
      <c r="H123" s="115" t="s">
        <v>1993</v>
      </c>
      <c r="I123" s="115" t="s">
        <v>18</v>
      </c>
      <c r="J123" s="115" t="s">
        <v>51</v>
      </c>
      <c r="K123" s="115"/>
      <c r="L123" s="115" t="s">
        <v>1994</v>
      </c>
      <c r="M123" s="115"/>
      <c r="N123" s="121" t="s">
        <v>1995</v>
      </c>
      <c r="O123" s="118">
        <v>690</v>
      </c>
      <c r="P123" s="115"/>
      <c r="Q123" s="115" t="s">
        <v>1500</v>
      </c>
      <c r="R123" s="361">
        <v>1</v>
      </c>
      <c r="S123" s="361">
        <v>2</v>
      </c>
      <c r="T123" s="361">
        <v>1</v>
      </c>
      <c r="U123" s="119">
        <v>172.5</v>
      </c>
      <c r="V123" s="120" t="s">
        <v>2318</v>
      </c>
      <c r="W123" s="115"/>
      <c r="X123" s="115"/>
      <c r="Y123" s="115"/>
      <c r="Z123" s="115"/>
    </row>
    <row r="124" spans="1:26" s="143" customFormat="1" ht="13.2">
      <c r="A124" s="451" t="s">
        <v>2192</v>
      </c>
      <c r="B124" s="451" t="s">
        <v>2193</v>
      </c>
      <c r="C124" s="452">
        <v>43820</v>
      </c>
      <c r="D124" s="452">
        <v>43831</v>
      </c>
      <c r="E124" s="451" t="s">
        <v>2194</v>
      </c>
      <c r="F124" s="451"/>
      <c r="G124" s="453" t="s">
        <v>2195</v>
      </c>
      <c r="H124" s="474" t="s">
        <v>2196</v>
      </c>
      <c r="I124" s="451" t="s">
        <v>18</v>
      </c>
      <c r="J124" s="451" t="s">
        <v>51</v>
      </c>
      <c r="K124" s="475"/>
      <c r="L124" s="475" t="s">
        <v>2197</v>
      </c>
      <c r="M124" s="451"/>
      <c r="N124" s="454" t="s">
        <v>2198</v>
      </c>
      <c r="O124" s="455"/>
      <c r="P124" s="451"/>
      <c r="Q124" s="451" t="s">
        <v>2023</v>
      </c>
      <c r="R124" s="453"/>
      <c r="S124" s="453">
        <v>2</v>
      </c>
      <c r="T124" s="453">
        <v>2</v>
      </c>
      <c r="U124" s="754"/>
      <c r="V124" s="456">
        <v>43473</v>
      </c>
      <c r="W124" s="451" t="s">
        <v>1769</v>
      </c>
      <c r="X124" s="451" t="s">
        <v>1154</v>
      </c>
      <c r="Y124" s="451"/>
      <c r="Z124" s="451"/>
    </row>
    <row r="125" spans="1:26" s="143" customFormat="1" ht="13.2">
      <c r="A125" s="372" t="s">
        <v>527</v>
      </c>
      <c r="B125" s="372" t="s">
        <v>693</v>
      </c>
      <c r="C125" s="373">
        <v>43824</v>
      </c>
      <c r="D125" s="373">
        <v>43475</v>
      </c>
      <c r="E125" s="372" t="s">
        <v>1787</v>
      </c>
      <c r="F125" s="372"/>
      <c r="G125" s="374" t="s">
        <v>1788</v>
      </c>
      <c r="H125" s="372" t="s">
        <v>1789</v>
      </c>
      <c r="I125" s="372" t="s">
        <v>18</v>
      </c>
      <c r="J125" s="372" t="s">
        <v>51</v>
      </c>
      <c r="K125" s="372"/>
      <c r="L125" s="372" t="s">
        <v>1790</v>
      </c>
      <c r="M125" s="372"/>
      <c r="N125" s="375" t="s">
        <v>1791</v>
      </c>
      <c r="O125" s="376">
        <f>1190*2</f>
        <v>2380</v>
      </c>
      <c r="P125" s="372"/>
      <c r="Q125" s="355" t="s">
        <v>2252</v>
      </c>
      <c r="R125" s="374">
        <v>2</v>
      </c>
      <c r="S125" s="374">
        <v>2</v>
      </c>
      <c r="T125" s="374">
        <v>1</v>
      </c>
      <c r="U125" s="356" t="s">
        <v>2262</v>
      </c>
      <c r="V125" s="372">
        <v>43545</v>
      </c>
      <c r="W125" s="355" t="s">
        <v>1519</v>
      </c>
      <c r="X125" s="355" t="s">
        <v>1154</v>
      </c>
      <c r="Y125" s="372"/>
      <c r="Z125" s="372"/>
    </row>
    <row r="126" spans="1:26" s="143" customFormat="1" ht="13.2">
      <c r="A126" s="115" t="s">
        <v>2427</v>
      </c>
      <c r="B126" s="115" t="s">
        <v>2426</v>
      </c>
      <c r="C126" s="116">
        <v>43880</v>
      </c>
      <c r="D126" s="116">
        <v>43890</v>
      </c>
      <c r="E126" s="115" t="s">
        <v>2428</v>
      </c>
      <c r="F126" s="115"/>
      <c r="G126" s="361" t="s">
        <v>2429</v>
      </c>
      <c r="H126" s="364" t="s">
        <v>2430</v>
      </c>
      <c r="I126" s="115" t="s">
        <v>18</v>
      </c>
      <c r="J126" s="115" t="s">
        <v>1023</v>
      </c>
      <c r="K126" s="115"/>
      <c r="L126" s="124" t="s">
        <v>2431</v>
      </c>
      <c r="M126" s="115"/>
      <c r="N126" s="121" t="s">
        <v>2432</v>
      </c>
      <c r="O126" s="118">
        <f>790*1.5</f>
        <v>1185</v>
      </c>
      <c r="P126" s="115"/>
      <c r="Q126" s="115" t="s">
        <v>1858</v>
      </c>
      <c r="R126" s="682">
        <v>1.5</v>
      </c>
      <c r="S126" s="361">
        <v>2</v>
      </c>
      <c r="T126" s="361">
        <v>2</v>
      </c>
      <c r="U126" s="119">
        <v>300</v>
      </c>
      <c r="V126" s="120">
        <v>43832</v>
      </c>
      <c r="W126" s="115" t="s">
        <v>1769</v>
      </c>
      <c r="X126" s="115" t="s">
        <v>1154</v>
      </c>
      <c r="Y126" s="115"/>
      <c r="Z126" s="115"/>
    </row>
    <row r="127" spans="1:26" s="143" customFormat="1" ht="13.2">
      <c r="A127" s="115" t="s">
        <v>2470</v>
      </c>
      <c r="B127" s="115" t="s">
        <v>2471</v>
      </c>
      <c r="C127" s="292">
        <v>43925</v>
      </c>
      <c r="D127" s="292">
        <v>43939</v>
      </c>
      <c r="E127" s="115" t="s">
        <v>2472</v>
      </c>
      <c r="F127" s="291"/>
      <c r="G127" s="361" t="s">
        <v>2473</v>
      </c>
      <c r="H127" s="115" t="s">
        <v>2474</v>
      </c>
      <c r="I127" s="115" t="s">
        <v>18</v>
      </c>
      <c r="J127" s="115" t="s">
        <v>51</v>
      </c>
      <c r="K127" s="291"/>
      <c r="L127" s="115" t="s">
        <v>2476</v>
      </c>
      <c r="M127" s="291"/>
      <c r="N127" s="121" t="s">
        <v>2475</v>
      </c>
      <c r="O127" s="295">
        <f>890*2</f>
        <v>1780</v>
      </c>
      <c r="P127" s="291"/>
      <c r="Q127" s="115" t="s">
        <v>1069</v>
      </c>
      <c r="R127" s="293">
        <v>2</v>
      </c>
      <c r="S127" s="361">
        <v>4</v>
      </c>
      <c r="T127" s="293">
        <v>1</v>
      </c>
      <c r="U127" s="119">
        <f>445</f>
        <v>445</v>
      </c>
      <c r="V127" s="298">
        <v>43854</v>
      </c>
      <c r="W127" s="115" t="s">
        <v>1338</v>
      </c>
      <c r="X127" s="115" t="s">
        <v>1154</v>
      </c>
      <c r="Y127" s="115" t="s">
        <v>2550</v>
      </c>
      <c r="Z127" s="291"/>
    </row>
    <row r="128" spans="1:26" s="143" customFormat="1" ht="13.2">
      <c r="A128" s="689" t="s">
        <v>2304</v>
      </c>
      <c r="B128" s="689" t="s">
        <v>1772</v>
      </c>
      <c r="C128" s="690">
        <v>43954</v>
      </c>
      <c r="D128" s="690">
        <v>43968</v>
      </c>
      <c r="E128" s="689" t="s">
        <v>2305</v>
      </c>
      <c r="F128" s="689"/>
      <c r="G128" s="691" t="s">
        <v>2306</v>
      </c>
      <c r="H128" s="689" t="s">
        <v>2307</v>
      </c>
      <c r="I128" s="689" t="s">
        <v>18</v>
      </c>
      <c r="J128" s="689" t="s">
        <v>1023</v>
      </c>
      <c r="K128" s="689" t="s">
        <v>2309</v>
      </c>
      <c r="L128" s="689" t="s">
        <v>2308</v>
      </c>
      <c r="M128" s="689"/>
      <c r="N128" s="433" t="s">
        <v>2310</v>
      </c>
      <c r="O128" s="694">
        <v>0</v>
      </c>
      <c r="P128" s="689"/>
      <c r="Q128" s="689" t="s">
        <v>2294</v>
      </c>
      <c r="R128" s="696">
        <v>2</v>
      </c>
      <c r="S128" s="691">
        <v>4</v>
      </c>
      <c r="T128" s="691">
        <v>3</v>
      </c>
      <c r="U128" s="753" t="s">
        <v>2317</v>
      </c>
      <c r="V128" s="695"/>
      <c r="W128" s="689"/>
      <c r="X128" s="689"/>
      <c r="Y128" s="689"/>
      <c r="Z128" s="689"/>
    </row>
    <row r="129" spans="1:26" s="143" customFormat="1" ht="13.2">
      <c r="A129" s="699" t="s">
        <v>2288</v>
      </c>
      <c r="B129" s="699" t="s">
        <v>2287</v>
      </c>
      <c r="C129" s="700">
        <v>43974</v>
      </c>
      <c r="D129" s="700">
        <v>43988</v>
      </c>
      <c r="E129" s="699" t="s">
        <v>2289</v>
      </c>
      <c r="F129" s="699"/>
      <c r="G129" s="701" t="s">
        <v>2290</v>
      </c>
      <c r="H129" s="699" t="s">
        <v>2291</v>
      </c>
      <c r="I129" s="699" t="s">
        <v>18</v>
      </c>
      <c r="J129" s="699" t="s">
        <v>51</v>
      </c>
      <c r="K129" s="699"/>
      <c r="L129" s="699" t="s">
        <v>2292</v>
      </c>
      <c r="M129" s="699"/>
      <c r="N129" s="707" t="s">
        <v>2293</v>
      </c>
      <c r="O129" s="704">
        <v>0</v>
      </c>
      <c r="P129" s="699"/>
      <c r="Q129" s="699" t="s">
        <v>2555</v>
      </c>
      <c r="R129" s="709">
        <v>2</v>
      </c>
      <c r="S129" s="701">
        <v>4</v>
      </c>
      <c r="T129" s="701">
        <v>3</v>
      </c>
      <c r="U129" s="705" t="s">
        <v>2261</v>
      </c>
      <c r="V129" s="699">
        <v>43580</v>
      </c>
      <c r="W129" s="699" t="s">
        <v>1769</v>
      </c>
      <c r="X129" s="699" t="s">
        <v>1154</v>
      </c>
      <c r="Y129" s="699" t="s">
        <v>2554</v>
      </c>
      <c r="Z129" s="699"/>
    </row>
    <row r="130" spans="1:26" s="143" customFormat="1" ht="13.2">
      <c r="A130" s="689" t="s">
        <v>2242</v>
      </c>
      <c r="B130" s="689" t="s">
        <v>2243</v>
      </c>
      <c r="C130" s="690">
        <v>43988</v>
      </c>
      <c r="D130" s="690">
        <v>44002</v>
      </c>
      <c r="E130" s="689" t="s">
        <v>2244</v>
      </c>
      <c r="F130" s="689"/>
      <c r="G130" s="691" t="s">
        <v>2245</v>
      </c>
      <c r="H130" s="692" t="s">
        <v>2246</v>
      </c>
      <c r="I130" s="689" t="s">
        <v>18</v>
      </c>
      <c r="J130" s="689" t="s">
        <v>51</v>
      </c>
      <c r="K130" s="693" t="s">
        <v>2247</v>
      </c>
      <c r="L130" s="689" t="s">
        <v>2248</v>
      </c>
      <c r="M130" s="689"/>
      <c r="N130" s="433" t="s">
        <v>2249</v>
      </c>
      <c r="O130" s="694">
        <v>2380</v>
      </c>
      <c r="P130" s="689"/>
      <c r="Q130" s="689" t="s">
        <v>2250</v>
      </c>
      <c r="R130" s="696">
        <v>2</v>
      </c>
      <c r="S130" s="691">
        <v>6</v>
      </c>
      <c r="T130" s="691">
        <v>2</v>
      </c>
      <c r="U130" s="753" t="s">
        <v>2261</v>
      </c>
      <c r="V130" s="695">
        <v>43545</v>
      </c>
      <c r="W130" s="689" t="s">
        <v>1769</v>
      </c>
      <c r="X130" s="689" t="s">
        <v>1154</v>
      </c>
      <c r="Y130" s="689" t="s">
        <v>2558</v>
      </c>
      <c r="Z130" s="689"/>
    </row>
    <row r="131" spans="1:26" s="143" customFormat="1" ht="13.2">
      <c r="A131" s="689" t="s">
        <v>2304</v>
      </c>
      <c r="B131" s="689" t="s">
        <v>1772</v>
      </c>
      <c r="C131" s="690">
        <v>43952</v>
      </c>
      <c r="D131" s="690">
        <v>43966</v>
      </c>
      <c r="E131" s="689" t="s">
        <v>2305</v>
      </c>
      <c r="F131" s="689"/>
      <c r="G131" s="691" t="s">
        <v>2306</v>
      </c>
      <c r="H131" s="689" t="s">
        <v>2307</v>
      </c>
      <c r="I131" s="689" t="s">
        <v>18</v>
      </c>
      <c r="J131" s="689" t="s">
        <v>1023</v>
      </c>
      <c r="K131" s="689" t="s">
        <v>2309</v>
      </c>
      <c r="L131" s="689" t="s">
        <v>2308</v>
      </c>
      <c r="M131" s="689"/>
      <c r="N131" s="433" t="s">
        <v>2310</v>
      </c>
      <c r="O131" s="694">
        <f>990*2</f>
        <v>1980</v>
      </c>
      <c r="P131" s="689"/>
      <c r="Q131" s="689" t="s">
        <v>2294</v>
      </c>
      <c r="R131" s="696">
        <v>2</v>
      </c>
      <c r="S131" s="691">
        <v>4</v>
      </c>
      <c r="T131" s="691">
        <v>3</v>
      </c>
      <c r="U131" s="753" t="s">
        <v>2317</v>
      </c>
      <c r="V131" s="695"/>
      <c r="W131" s="689"/>
      <c r="X131" s="689"/>
      <c r="Y131" s="689"/>
      <c r="Z131" s="689"/>
    </row>
    <row r="132" spans="1:26" s="143" customFormat="1" ht="13.2">
      <c r="A132" s="689" t="s">
        <v>2379</v>
      </c>
      <c r="B132" s="689" t="s">
        <v>1669</v>
      </c>
      <c r="C132" s="690">
        <v>44366</v>
      </c>
      <c r="D132" s="690">
        <v>44380</v>
      </c>
      <c r="E132" s="689" t="s">
        <v>2380</v>
      </c>
      <c r="F132" s="689"/>
      <c r="G132" s="691" t="s">
        <v>2381</v>
      </c>
      <c r="H132" s="692" t="s">
        <v>2382</v>
      </c>
      <c r="I132" s="689" t="s">
        <v>18</v>
      </c>
      <c r="J132" s="689" t="s">
        <v>51</v>
      </c>
      <c r="K132" s="689"/>
      <c r="L132" s="693" t="s">
        <v>2383</v>
      </c>
      <c r="M132" s="689"/>
      <c r="N132" s="433" t="s">
        <v>2384</v>
      </c>
      <c r="O132" s="694">
        <f>1590+1990</f>
        <v>3580</v>
      </c>
      <c r="P132" s="689"/>
      <c r="Q132" s="689" t="s">
        <v>2023</v>
      </c>
      <c r="R132" s="696">
        <v>2</v>
      </c>
      <c r="S132" s="691">
        <v>2</v>
      </c>
      <c r="T132" s="691">
        <v>2</v>
      </c>
      <c r="U132" s="753" t="s">
        <v>2385</v>
      </c>
      <c r="V132" s="695">
        <v>43759</v>
      </c>
      <c r="W132" s="689" t="s">
        <v>1769</v>
      </c>
      <c r="X132" s="689" t="s">
        <v>1154</v>
      </c>
      <c r="Y132" s="689"/>
      <c r="Z132" s="689"/>
    </row>
    <row r="133" spans="1:26" s="143" customFormat="1">
      <c r="A133" s="139" t="s">
        <v>269</v>
      </c>
      <c r="B133" s="139" t="s">
        <v>268</v>
      </c>
      <c r="C133" s="352">
        <v>38430</v>
      </c>
      <c r="D133" s="352">
        <v>38444</v>
      </c>
      <c r="E133" s="139" t="s">
        <v>320</v>
      </c>
      <c r="F133" s="139"/>
      <c r="G133" s="140">
        <v>46342</v>
      </c>
      <c r="H133" s="139" t="s">
        <v>321</v>
      </c>
      <c r="I133" s="139" t="s">
        <v>18</v>
      </c>
      <c r="J133" s="139" t="s">
        <v>51</v>
      </c>
      <c r="K133" s="139" t="s">
        <v>322</v>
      </c>
      <c r="L133" s="139" t="s">
        <v>323</v>
      </c>
      <c r="M133" s="139"/>
      <c r="N133" s="156" t="s">
        <v>270</v>
      </c>
      <c r="O133" s="157">
        <f>460*2</f>
        <v>920</v>
      </c>
      <c r="P133" s="139"/>
      <c r="Q133" s="139"/>
      <c r="R133" s="140">
        <v>2</v>
      </c>
      <c r="S133" s="140">
        <v>2</v>
      </c>
      <c r="T133" s="140">
        <v>2</v>
      </c>
      <c r="U133" s="185" t="s">
        <v>232</v>
      </c>
      <c r="V133" s="139"/>
      <c r="W133" s="139"/>
      <c r="X133" s="139"/>
      <c r="Y133" s="139"/>
      <c r="Z133" s="139"/>
    </row>
    <row r="134" spans="1:26" s="143" customFormat="1">
      <c r="A134" s="139" t="s">
        <v>193</v>
      </c>
      <c r="B134" s="139"/>
      <c r="C134" s="352">
        <v>38493</v>
      </c>
      <c r="D134" s="352">
        <v>38507</v>
      </c>
      <c r="E134" s="139" t="s">
        <v>194</v>
      </c>
      <c r="F134" s="139"/>
      <c r="G134" s="140" t="s">
        <v>195</v>
      </c>
      <c r="H134" s="139" t="s">
        <v>196</v>
      </c>
      <c r="I134" s="139" t="s">
        <v>18</v>
      </c>
      <c r="J134" s="139" t="s">
        <v>51</v>
      </c>
      <c r="K134" s="139"/>
      <c r="L134" s="139" t="s">
        <v>233</v>
      </c>
      <c r="M134" s="139"/>
      <c r="N134" s="156" t="s">
        <v>197</v>
      </c>
      <c r="O134" s="157">
        <f>460+520</f>
        <v>980</v>
      </c>
      <c r="P134" s="139"/>
      <c r="Q134" s="139"/>
      <c r="R134" s="140">
        <v>2</v>
      </c>
      <c r="S134" s="140" t="s">
        <v>199</v>
      </c>
      <c r="T134" s="140"/>
      <c r="U134" s="185" t="s">
        <v>232</v>
      </c>
      <c r="V134" s="139"/>
      <c r="W134" s="139"/>
      <c r="X134" s="139"/>
      <c r="Y134" s="139"/>
      <c r="Z134" s="139"/>
    </row>
    <row r="135" spans="1:26" s="143" customFormat="1">
      <c r="A135" s="139" t="s">
        <v>328</v>
      </c>
      <c r="B135" s="139" t="s">
        <v>329</v>
      </c>
      <c r="C135" s="352">
        <v>38507</v>
      </c>
      <c r="D135" s="352">
        <v>38514</v>
      </c>
      <c r="E135" s="139" t="s">
        <v>330</v>
      </c>
      <c r="F135" s="139"/>
      <c r="G135" s="140">
        <v>54595</v>
      </c>
      <c r="H135" s="139" t="s">
        <v>331</v>
      </c>
      <c r="I135" s="139" t="s">
        <v>18</v>
      </c>
      <c r="J135" s="139" t="s">
        <v>51</v>
      </c>
      <c r="K135" s="139" t="s">
        <v>332</v>
      </c>
      <c r="L135" s="139"/>
      <c r="M135" s="139"/>
      <c r="N135" s="156" t="s">
        <v>333</v>
      </c>
      <c r="O135" s="157">
        <v>650</v>
      </c>
      <c r="P135" s="139"/>
      <c r="Q135" s="139" t="s">
        <v>271</v>
      </c>
      <c r="R135" s="140">
        <v>1</v>
      </c>
      <c r="S135" s="140" t="s">
        <v>339</v>
      </c>
      <c r="T135" s="140"/>
      <c r="U135" s="185" t="s">
        <v>232</v>
      </c>
      <c r="V135" s="139"/>
      <c r="W135" s="139"/>
      <c r="X135" s="139"/>
      <c r="Y135" s="139"/>
      <c r="Z135" s="139"/>
    </row>
    <row r="136" spans="1:26" s="143" customFormat="1">
      <c r="A136" s="153" t="s">
        <v>182</v>
      </c>
      <c r="B136" s="139" t="s">
        <v>181</v>
      </c>
      <c r="C136" s="352">
        <v>38514</v>
      </c>
      <c r="D136" s="352">
        <v>38535</v>
      </c>
      <c r="E136" s="139" t="s">
        <v>186</v>
      </c>
      <c r="F136" s="139"/>
      <c r="G136" s="140">
        <v>41470</v>
      </c>
      <c r="H136" s="139" t="s">
        <v>187</v>
      </c>
      <c r="I136" s="139" t="s">
        <v>18</v>
      </c>
      <c r="J136" s="139" t="s">
        <v>51</v>
      </c>
      <c r="K136" s="139" t="s">
        <v>184</v>
      </c>
      <c r="L136" s="139" t="s">
        <v>185</v>
      </c>
      <c r="M136" s="139"/>
      <c r="N136" s="156"/>
      <c r="O136" s="157">
        <v>1800</v>
      </c>
      <c r="P136" s="139"/>
      <c r="Q136" s="139"/>
      <c r="R136" s="140">
        <v>3</v>
      </c>
      <c r="S136" s="140">
        <v>6</v>
      </c>
      <c r="T136" s="140"/>
      <c r="U136" s="185" t="s">
        <v>232</v>
      </c>
      <c r="V136" s="139"/>
      <c r="W136" s="139"/>
      <c r="X136" s="139"/>
      <c r="Y136" s="139"/>
      <c r="Z136" s="139"/>
    </row>
    <row r="137" spans="1:26" s="143" customFormat="1">
      <c r="A137" s="153" t="s">
        <v>256</v>
      </c>
      <c r="B137" s="139" t="s">
        <v>252</v>
      </c>
      <c r="C137" s="352">
        <v>38570</v>
      </c>
      <c r="D137" s="352">
        <v>38584</v>
      </c>
      <c r="E137" s="139" t="s">
        <v>253</v>
      </c>
      <c r="F137" s="139"/>
      <c r="G137" s="140">
        <v>53577</v>
      </c>
      <c r="H137" s="139" t="s">
        <v>254</v>
      </c>
      <c r="I137" s="139" t="s">
        <v>18</v>
      </c>
      <c r="J137" s="139" t="s">
        <v>51</v>
      </c>
      <c r="K137" s="139" t="s">
        <v>257</v>
      </c>
      <c r="L137" s="139" t="s">
        <v>255</v>
      </c>
      <c r="M137" s="139" t="s">
        <v>258</v>
      </c>
      <c r="N137" s="156" t="s">
        <v>259</v>
      </c>
      <c r="O137" s="157">
        <v>2200</v>
      </c>
      <c r="P137" s="139"/>
      <c r="Q137" s="139"/>
      <c r="R137" s="140">
        <v>2</v>
      </c>
      <c r="S137" s="140">
        <v>6</v>
      </c>
      <c r="T137" s="140">
        <v>1</v>
      </c>
      <c r="U137" s="185" t="s">
        <v>232</v>
      </c>
      <c r="V137" s="139"/>
      <c r="W137" s="139"/>
      <c r="X137" s="139"/>
      <c r="Y137" s="139"/>
      <c r="Z137" s="139"/>
    </row>
    <row r="138" spans="1:26" s="143" customFormat="1">
      <c r="A138" s="153" t="s">
        <v>240</v>
      </c>
      <c r="B138" s="139" t="s">
        <v>241</v>
      </c>
      <c r="C138" s="154">
        <v>38528</v>
      </c>
      <c r="D138" s="154">
        <v>38549</v>
      </c>
      <c r="E138" s="139" t="s">
        <v>235</v>
      </c>
      <c r="F138" s="139"/>
      <c r="G138" s="140" t="s">
        <v>238</v>
      </c>
      <c r="H138" s="139" t="s">
        <v>239</v>
      </c>
      <c r="I138" s="139" t="s">
        <v>18</v>
      </c>
      <c r="J138" s="139" t="s">
        <v>51</v>
      </c>
      <c r="K138" s="139" t="s">
        <v>236</v>
      </c>
      <c r="L138" s="139" t="s">
        <v>245</v>
      </c>
      <c r="M138" s="139"/>
      <c r="N138" s="156" t="s">
        <v>237</v>
      </c>
      <c r="O138" s="136">
        <v>1650</v>
      </c>
      <c r="P138" s="139"/>
      <c r="Q138" s="139"/>
      <c r="R138" s="140">
        <v>3</v>
      </c>
      <c r="S138" s="140">
        <v>2</v>
      </c>
      <c r="T138" s="140">
        <v>2</v>
      </c>
      <c r="U138" s="185" t="s">
        <v>232</v>
      </c>
      <c r="V138" s="139"/>
      <c r="W138" s="139"/>
      <c r="X138" s="139"/>
      <c r="Y138" s="139"/>
      <c r="Z138" s="139"/>
    </row>
    <row r="139" spans="1:26" s="225" customFormat="1">
      <c r="A139" s="153" t="s">
        <v>304</v>
      </c>
      <c r="B139" s="139" t="s">
        <v>305</v>
      </c>
      <c r="C139" s="154">
        <v>38577</v>
      </c>
      <c r="D139" s="154">
        <v>38591</v>
      </c>
      <c r="E139" s="139" t="s">
        <v>306</v>
      </c>
      <c r="F139" s="139"/>
      <c r="G139" s="140">
        <v>68542</v>
      </c>
      <c r="H139" s="139" t="s">
        <v>307</v>
      </c>
      <c r="I139" s="139" t="s">
        <v>18</v>
      </c>
      <c r="J139" s="139" t="s">
        <v>51</v>
      </c>
      <c r="K139" s="139" t="s">
        <v>308</v>
      </c>
      <c r="L139" s="139"/>
      <c r="M139" s="139" t="s">
        <v>309</v>
      </c>
      <c r="N139" s="156" t="s">
        <v>310</v>
      </c>
      <c r="O139" s="139">
        <v>1300</v>
      </c>
      <c r="P139" s="139"/>
      <c r="Q139" s="139" t="s">
        <v>311</v>
      </c>
      <c r="R139" s="140">
        <v>2</v>
      </c>
      <c r="S139" s="140">
        <v>2</v>
      </c>
      <c r="T139" s="140">
        <v>1</v>
      </c>
      <c r="U139" s="185" t="s">
        <v>232</v>
      </c>
      <c r="V139" s="139"/>
      <c r="W139" s="139" t="s">
        <v>313</v>
      </c>
      <c r="X139" s="139"/>
      <c r="Y139" s="139"/>
      <c r="Z139" s="139"/>
    </row>
    <row r="140" spans="1:26">
      <c r="A140" s="139" t="s">
        <v>290</v>
      </c>
      <c r="C140" s="154">
        <v>38591</v>
      </c>
      <c r="D140" s="154">
        <v>38605</v>
      </c>
      <c r="E140" s="139" t="s">
        <v>291</v>
      </c>
      <c r="G140" s="140">
        <v>66292</v>
      </c>
      <c r="H140" s="139" t="s">
        <v>292</v>
      </c>
      <c r="I140" s="139" t="s">
        <v>18</v>
      </c>
      <c r="J140" s="139" t="s">
        <v>51</v>
      </c>
      <c r="K140" s="139" t="s">
        <v>294</v>
      </c>
      <c r="L140" s="139" t="s">
        <v>295</v>
      </c>
      <c r="N140" s="156"/>
      <c r="O140" s="136">
        <v>1050</v>
      </c>
      <c r="Q140" s="139" t="s">
        <v>312</v>
      </c>
      <c r="R140" s="140">
        <v>2</v>
      </c>
      <c r="S140" s="140">
        <v>2</v>
      </c>
      <c r="T140" s="140">
        <v>1</v>
      </c>
      <c r="U140" s="139" t="s">
        <v>232</v>
      </c>
    </row>
    <row r="141" spans="1:26" ht="10.8" thickBot="1">
      <c r="A141" s="139" t="s">
        <v>287</v>
      </c>
      <c r="C141" s="154">
        <v>38605</v>
      </c>
      <c r="D141" s="154">
        <v>38619</v>
      </c>
      <c r="E141" s="139" t="s">
        <v>288</v>
      </c>
      <c r="G141" s="140">
        <v>73061</v>
      </c>
      <c r="H141" s="139" t="s">
        <v>289</v>
      </c>
      <c r="I141" s="139" t="s">
        <v>18</v>
      </c>
      <c r="J141" s="139" t="s">
        <v>51</v>
      </c>
      <c r="N141" s="156" t="s">
        <v>286</v>
      </c>
      <c r="O141" s="136">
        <v>900</v>
      </c>
      <c r="Q141" s="139" t="s">
        <v>311</v>
      </c>
      <c r="R141" s="140">
        <v>2</v>
      </c>
      <c r="S141" s="140">
        <v>2</v>
      </c>
      <c r="T141" s="140">
        <v>1</v>
      </c>
      <c r="U141" s="139" t="s">
        <v>232</v>
      </c>
    </row>
    <row r="142" spans="1:26" ht="13.8" thickBot="1">
      <c r="A142" s="517" t="s">
        <v>1997</v>
      </c>
      <c r="B142" s="539" t="s">
        <v>1998</v>
      </c>
      <c r="C142" s="116">
        <v>43484</v>
      </c>
      <c r="D142" s="651">
        <v>43498</v>
      </c>
      <c r="E142" s="539" t="s">
        <v>1999</v>
      </c>
      <c r="F142" s="115"/>
      <c r="G142" s="361" t="s">
        <v>2000</v>
      </c>
      <c r="H142" s="115" t="s">
        <v>2001</v>
      </c>
      <c r="I142" s="115" t="s">
        <v>2002</v>
      </c>
      <c r="J142" s="115" t="s">
        <v>51</v>
      </c>
      <c r="K142" s="115"/>
      <c r="L142" s="115" t="s">
        <v>2003</v>
      </c>
      <c r="M142" s="115"/>
      <c r="N142" s="121" t="s">
        <v>2004</v>
      </c>
      <c r="O142" s="118">
        <f>690*2+3*3*14+70</f>
        <v>1576</v>
      </c>
      <c r="P142" s="115"/>
      <c r="Q142" s="115" t="s">
        <v>2005</v>
      </c>
      <c r="R142" s="361">
        <v>2</v>
      </c>
      <c r="S142" s="361">
        <v>2</v>
      </c>
      <c r="T142" s="361">
        <v>3</v>
      </c>
      <c r="U142" s="598"/>
      <c r="V142" s="120" t="s">
        <v>1769</v>
      </c>
      <c r="W142" s="115"/>
      <c r="X142" s="115"/>
      <c r="Y142" s="115"/>
      <c r="Z142" s="115"/>
    </row>
    <row r="143" spans="1:26" ht="10.8" thickBot="1">
      <c r="A143" s="511" t="s">
        <v>1824</v>
      </c>
      <c r="B143" s="535" t="s">
        <v>1823</v>
      </c>
      <c r="C143" s="548">
        <v>43183</v>
      </c>
      <c r="D143" s="561">
        <v>43197</v>
      </c>
      <c r="E143" s="543" t="s">
        <v>1822</v>
      </c>
      <c r="F143" s="115"/>
      <c r="G143" s="361" t="s">
        <v>1826</v>
      </c>
      <c r="H143" s="115" t="s">
        <v>1825</v>
      </c>
      <c r="I143" s="115" t="s">
        <v>1827</v>
      </c>
      <c r="J143" s="115" t="s">
        <v>51</v>
      </c>
      <c r="K143" s="115" t="s">
        <v>1828</v>
      </c>
      <c r="L143" s="115"/>
      <c r="M143" s="115"/>
      <c r="N143" s="128" t="s">
        <v>1831</v>
      </c>
      <c r="O143" s="118">
        <f>690*2</f>
        <v>1380</v>
      </c>
      <c r="P143" s="115"/>
      <c r="Q143" s="115" t="s">
        <v>1829</v>
      </c>
      <c r="R143" s="361">
        <v>2</v>
      </c>
      <c r="S143" s="361" t="s">
        <v>1830</v>
      </c>
      <c r="T143" s="361">
        <v>1</v>
      </c>
      <c r="U143" s="598">
        <v>500</v>
      </c>
      <c r="V143" s="115">
        <v>43046</v>
      </c>
      <c r="W143" s="115" t="s">
        <v>1833</v>
      </c>
      <c r="X143" s="115" t="s">
        <v>1154</v>
      </c>
      <c r="Y143" s="115"/>
      <c r="Z143" s="115"/>
    </row>
    <row r="144" spans="1:26" ht="13.8" thickBot="1">
      <c r="A144" s="291" t="s">
        <v>1669</v>
      </c>
      <c r="B144" s="291" t="s">
        <v>1670</v>
      </c>
      <c r="C144" s="292">
        <v>42938</v>
      </c>
      <c r="D144" s="554">
        <v>42945</v>
      </c>
      <c r="E144" s="570" t="s">
        <v>1671</v>
      </c>
      <c r="F144" s="291"/>
      <c r="G144" s="293" t="s">
        <v>1672</v>
      </c>
      <c r="H144" s="291" t="s">
        <v>1673</v>
      </c>
      <c r="I144" s="291" t="s">
        <v>1674</v>
      </c>
      <c r="J144" s="291" t="s">
        <v>1023</v>
      </c>
      <c r="K144" s="291" t="s">
        <v>1675</v>
      </c>
      <c r="L144" s="291"/>
      <c r="M144" s="291"/>
      <c r="N144" s="294" t="s">
        <v>1676</v>
      </c>
      <c r="O144" s="295">
        <v>1990</v>
      </c>
      <c r="P144" s="291"/>
      <c r="Q144" s="291" t="s">
        <v>1677</v>
      </c>
      <c r="R144" s="293">
        <v>1</v>
      </c>
      <c r="S144" s="293">
        <v>3</v>
      </c>
      <c r="T144" s="293">
        <v>1</v>
      </c>
      <c r="U144" s="591">
        <v>500</v>
      </c>
      <c r="V144" s="298">
        <v>42761</v>
      </c>
      <c r="W144" s="291" t="s">
        <v>1678</v>
      </c>
      <c r="X144" s="291" t="s">
        <v>1154</v>
      </c>
      <c r="Y144" s="291"/>
      <c r="Z144" s="291"/>
    </row>
    <row r="145" spans="1:26" ht="13.8" thickBot="1">
      <c r="A145" s="620" t="s">
        <v>1771</v>
      </c>
      <c r="B145" s="634" t="s">
        <v>1772</v>
      </c>
      <c r="C145" s="292">
        <v>43002</v>
      </c>
      <c r="D145" s="554">
        <v>43008</v>
      </c>
      <c r="E145" s="570" t="s">
        <v>1773</v>
      </c>
      <c r="F145" s="291"/>
      <c r="G145" s="293"/>
      <c r="H145" s="291" t="s">
        <v>1774</v>
      </c>
      <c r="I145" s="291" t="s">
        <v>1775</v>
      </c>
      <c r="J145" s="291" t="s">
        <v>51</v>
      </c>
      <c r="K145" s="291"/>
      <c r="L145" s="291" t="s">
        <v>1776</v>
      </c>
      <c r="M145" s="291"/>
      <c r="N145" s="294" t="s">
        <v>1777</v>
      </c>
      <c r="O145" s="295">
        <v>990</v>
      </c>
      <c r="P145" s="291"/>
      <c r="Q145" s="291" t="s">
        <v>1025</v>
      </c>
      <c r="R145" s="293">
        <v>1</v>
      </c>
      <c r="S145" s="293">
        <v>2</v>
      </c>
      <c r="T145" s="293">
        <v>1</v>
      </c>
      <c r="U145" s="591">
        <v>250</v>
      </c>
      <c r="V145" s="291"/>
      <c r="W145" s="291" t="s">
        <v>1477</v>
      </c>
      <c r="X145" s="291"/>
      <c r="Y145" s="291"/>
      <c r="Z145" s="291"/>
    </row>
    <row r="146" spans="1:26" ht="10.8" thickBot="1">
      <c r="A146" s="115" t="s">
        <v>681</v>
      </c>
      <c r="B146" s="115" t="s">
        <v>1874</v>
      </c>
      <c r="C146" s="116">
        <v>43316</v>
      </c>
      <c r="D146" s="561">
        <v>43323</v>
      </c>
      <c r="E146" s="543" t="s">
        <v>1875</v>
      </c>
      <c r="F146" s="115"/>
      <c r="G146" s="361" t="s">
        <v>1876</v>
      </c>
      <c r="H146" s="115" t="s">
        <v>1774</v>
      </c>
      <c r="I146" s="115" t="s">
        <v>1775</v>
      </c>
      <c r="J146" s="115" t="s">
        <v>1023</v>
      </c>
      <c r="K146" s="115"/>
      <c r="L146" s="115" t="s">
        <v>1877</v>
      </c>
      <c r="M146" s="115"/>
      <c r="N146" s="128" t="s">
        <v>1878</v>
      </c>
      <c r="O146" s="118">
        <v>1990</v>
      </c>
      <c r="P146" s="115"/>
      <c r="Q146" s="115" t="s">
        <v>1879</v>
      </c>
      <c r="R146" s="361">
        <v>1</v>
      </c>
      <c r="S146" s="361">
        <v>4</v>
      </c>
      <c r="T146" s="361">
        <v>1</v>
      </c>
      <c r="U146" s="598">
        <v>500</v>
      </c>
      <c r="V146" s="120"/>
      <c r="W146" s="115"/>
      <c r="X146" s="115"/>
      <c r="Y146" s="115"/>
      <c r="Z146" s="115"/>
    </row>
    <row r="147" spans="1:26" ht="10.8" thickBot="1">
      <c r="A147" s="167" t="s">
        <v>823</v>
      </c>
      <c r="B147" s="534" t="s">
        <v>388</v>
      </c>
      <c r="C147" s="144">
        <v>41027</v>
      </c>
      <c r="D147" s="559">
        <v>41034</v>
      </c>
      <c r="E147" s="529"/>
      <c r="F147" s="143"/>
      <c r="G147" s="145"/>
      <c r="H147" s="143"/>
      <c r="I147" s="143" t="s">
        <v>36</v>
      </c>
      <c r="J147" s="143" t="s">
        <v>19</v>
      </c>
      <c r="K147" s="143"/>
      <c r="L147" s="143" t="s">
        <v>837</v>
      </c>
      <c r="M147" s="143"/>
      <c r="N147" s="147" t="s">
        <v>825</v>
      </c>
      <c r="O147" s="148">
        <f>790+42+70</f>
        <v>902</v>
      </c>
      <c r="P147" s="143"/>
      <c r="Q147" s="143" t="s">
        <v>824</v>
      </c>
      <c r="R147" s="145">
        <v>1</v>
      </c>
      <c r="S147" s="145">
        <v>4</v>
      </c>
      <c r="T147" s="145">
        <v>2</v>
      </c>
      <c r="U147" s="586">
        <v>200</v>
      </c>
      <c r="V147" s="143"/>
      <c r="W147" s="143" t="s">
        <v>824</v>
      </c>
      <c r="X147" s="143"/>
      <c r="Y147" s="143"/>
      <c r="Z147" s="143"/>
    </row>
    <row r="148" spans="1:26" ht="13.8" thickBot="1">
      <c r="A148" s="207" t="s">
        <v>1124</v>
      </c>
      <c r="B148" s="529"/>
      <c r="C148" s="144">
        <v>41433</v>
      </c>
      <c r="D148" s="559">
        <v>41440</v>
      </c>
      <c r="E148" s="529" t="s">
        <v>1125</v>
      </c>
      <c r="F148" s="143"/>
      <c r="G148" s="145" t="s">
        <v>1126</v>
      </c>
      <c r="H148" s="143" t="s">
        <v>1127</v>
      </c>
      <c r="I148" s="143" t="s">
        <v>36</v>
      </c>
      <c r="J148" s="143" t="s">
        <v>19</v>
      </c>
      <c r="K148" s="143" t="s">
        <v>1128</v>
      </c>
      <c r="L148" s="143"/>
      <c r="M148" s="143"/>
      <c r="N148" s="253" t="s">
        <v>1680</v>
      </c>
      <c r="O148" s="148">
        <v>1090</v>
      </c>
      <c r="P148" s="143"/>
      <c r="Q148" s="143" t="s">
        <v>1130</v>
      </c>
      <c r="R148" s="145">
        <v>1</v>
      </c>
      <c r="S148" s="145" t="s">
        <v>1130</v>
      </c>
      <c r="T148" s="145">
        <v>0</v>
      </c>
      <c r="U148" s="586">
        <v>290</v>
      </c>
      <c r="V148" s="238">
        <v>41386</v>
      </c>
      <c r="W148" s="143"/>
      <c r="X148" s="143"/>
      <c r="Y148" s="143"/>
      <c r="Z148" s="143"/>
    </row>
    <row r="149" spans="1:26" ht="15.6">
      <c r="A149" s="143" t="s">
        <v>1097</v>
      </c>
      <c r="B149" s="143" t="s">
        <v>1098</v>
      </c>
      <c r="C149" s="144">
        <v>41482</v>
      </c>
      <c r="D149" s="144">
        <v>41489</v>
      </c>
      <c r="E149" s="143" t="s">
        <v>1102</v>
      </c>
      <c r="F149" s="143"/>
      <c r="G149" s="145" t="s">
        <v>1103</v>
      </c>
      <c r="H149" s="143" t="s">
        <v>1104</v>
      </c>
      <c r="I149" s="143" t="s">
        <v>36</v>
      </c>
      <c r="J149" s="143" t="s">
        <v>19</v>
      </c>
      <c r="K149" s="143" t="s">
        <v>1105</v>
      </c>
      <c r="L149" s="143" t="s">
        <v>1100</v>
      </c>
      <c r="M149" s="143"/>
      <c r="N149" s="147" t="s">
        <v>1099</v>
      </c>
      <c r="O149" s="148">
        <v>1990</v>
      </c>
      <c r="P149" s="143"/>
      <c r="Q149" s="143" t="s">
        <v>1101</v>
      </c>
      <c r="R149" s="145">
        <v>1</v>
      </c>
      <c r="S149" s="145">
        <v>3</v>
      </c>
      <c r="T149" s="145">
        <v>0</v>
      </c>
      <c r="U149" s="586">
        <v>500</v>
      </c>
      <c r="V149" s="240">
        <v>41331</v>
      </c>
      <c r="W149" s="143" t="s">
        <v>1081</v>
      </c>
      <c r="X149" s="143"/>
      <c r="Y149" s="143"/>
      <c r="Z149" s="143"/>
    </row>
    <row r="150" spans="1:26" ht="128.55000000000001" customHeight="1">
      <c r="A150" s="143" t="s">
        <v>1228</v>
      </c>
      <c r="B150" s="143" t="s">
        <v>1229</v>
      </c>
      <c r="C150" s="144">
        <v>41888</v>
      </c>
      <c r="D150" s="144">
        <v>41895</v>
      </c>
      <c r="E150" s="143" t="s">
        <v>1230</v>
      </c>
      <c r="F150" s="143"/>
      <c r="G150" s="145" t="s">
        <v>1231</v>
      </c>
      <c r="H150" s="143" t="s">
        <v>1232</v>
      </c>
      <c r="I150" s="143" t="s">
        <v>36</v>
      </c>
      <c r="J150" s="143" t="s">
        <v>19</v>
      </c>
      <c r="K150" s="143"/>
      <c r="L150" s="143" t="s">
        <v>1233</v>
      </c>
      <c r="M150" s="143"/>
      <c r="N150" s="147" t="s">
        <v>1234</v>
      </c>
      <c r="O150" s="148">
        <v>1190</v>
      </c>
      <c r="P150" s="143"/>
      <c r="Q150" s="143" t="s">
        <v>1235</v>
      </c>
      <c r="R150" s="145">
        <v>1</v>
      </c>
      <c r="S150" s="145"/>
      <c r="T150" s="145">
        <v>0</v>
      </c>
      <c r="U150" s="586">
        <f>300</f>
        <v>300</v>
      </c>
      <c r="V150" s="238">
        <v>41659</v>
      </c>
      <c r="W150" s="143"/>
      <c r="X150" s="143" t="s">
        <v>1154</v>
      </c>
      <c r="Y150" s="143"/>
      <c r="Z150" s="143"/>
    </row>
    <row r="151" spans="1:26" ht="14.4">
      <c r="A151" s="291" t="s">
        <v>1599</v>
      </c>
      <c r="B151" s="291" t="s">
        <v>228</v>
      </c>
      <c r="C151" s="292">
        <v>42602</v>
      </c>
      <c r="D151" s="292">
        <v>42609</v>
      </c>
      <c r="E151" s="291" t="s">
        <v>1604</v>
      </c>
      <c r="F151" s="291"/>
      <c r="G151" s="293" t="s">
        <v>1605</v>
      </c>
      <c r="H151" s="291" t="s">
        <v>1606</v>
      </c>
      <c r="I151" s="291" t="s">
        <v>36</v>
      </c>
      <c r="J151" s="291" t="s">
        <v>1600</v>
      </c>
      <c r="K151" s="291"/>
      <c r="L151" s="301" t="s">
        <v>1623</v>
      </c>
      <c r="M151" s="291"/>
      <c r="N151" s="294"/>
      <c r="O151" s="295">
        <v>1290</v>
      </c>
      <c r="P151" s="291"/>
      <c r="Q151" s="291" t="s">
        <v>1603</v>
      </c>
      <c r="R151" s="293">
        <v>1</v>
      </c>
      <c r="S151" s="293"/>
      <c r="T151" s="293"/>
      <c r="U151" s="591">
        <v>400</v>
      </c>
      <c r="V151" s="298"/>
      <c r="W151" s="291"/>
      <c r="X151" s="291"/>
      <c r="Y151" s="291"/>
      <c r="Z151" s="291"/>
    </row>
    <row r="152" spans="1:26" s="143" customFormat="1">
      <c r="A152" s="139" t="s">
        <v>188</v>
      </c>
      <c r="B152" s="139" t="s">
        <v>244</v>
      </c>
      <c r="C152" s="352">
        <v>38444</v>
      </c>
      <c r="D152" s="352">
        <v>38451</v>
      </c>
      <c r="E152" s="139" t="s">
        <v>189</v>
      </c>
      <c r="F152" s="139"/>
      <c r="G152" s="140">
        <v>1700</v>
      </c>
      <c r="H152" s="139" t="s">
        <v>190</v>
      </c>
      <c r="I152" s="139" t="s">
        <v>36</v>
      </c>
      <c r="J152" s="139" t="s">
        <v>19</v>
      </c>
      <c r="K152" s="139" t="s">
        <v>226</v>
      </c>
      <c r="L152" s="139" t="s">
        <v>227</v>
      </c>
      <c r="M152" s="139"/>
      <c r="N152" s="156"/>
      <c r="O152" s="157">
        <v>460</v>
      </c>
      <c r="P152" s="139"/>
      <c r="Q152" s="139"/>
      <c r="R152" s="140">
        <v>1</v>
      </c>
      <c r="S152" s="140" t="s">
        <v>192</v>
      </c>
      <c r="T152" s="140"/>
      <c r="U152" s="185" t="s">
        <v>232</v>
      </c>
      <c r="V152" s="139"/>
      <c r="W152" s="139"/>
      <c r="X152" s="139"/>
      <c r="Y152" s="139"/>
      <c r="Z152" s="139"/>
    </row>
    <row r="153" spans="1:26" s="143" customFormat="1">
      <c r="A153" s="143" t="s">
        <v>1218</v>
      </c>
      <c r="B153" s="143" t="s">
        <v>1219</v>
      </c>
      <c r="C153" s="144">
        <v>41909</v>
      </c>
      <c r="D153" s="144">
        <v>41916</v>
      </c>
      <c r="E153" s="143" t="s">
        <v>1220</v>
      </c>
      <c r="G153" s="145" t="s">
        <v>1221</v>
      </c>
      <c r="H153" s="143" t="s">
        <v>1222</v>
      </c>
      <c r="I153" s="143" t="s">
        <v>1223</v>
      </c>
      <c r="J153" s="143" t="s">
        <v>180</v>
      </c>
      <c r="K153" s="143" t="s">
        <v>1224</v>
      </c>
      <c r="L153" s="143" t="s">
        <v>1225</v>
      </c>
      <c r="N153" s="147" t="s">
        <v>1226</v>
      </c>
      <c r="O153" s="148">
        <f>990+42</f>
        <v>1032</v>
      </c>
      <c r="Q153" s="143" t="s">
        <v>1192</v>
      </c>
      <c r="R153" s="145">
        <v>1</v>
      </c>
      <c r="S153" s="145">
        <v>2</v>
      </c>
      <c r="T153" s="145">
        <v>2</v>
      </c>
      <c r="U153" s="236">
        <v>250</v>
      </c>
      <c r="V153" s="238">
        <v>41660</v>
      </c>
      <c r="W153" s="143" t="s">
        <v>1227</v>
      </c>
      <c r="X153" s="143" t="s">
        <v>1154</v>
      </c>
    </row>
    <row r="154" spans="1:26" s="225" customFormat="1">
      <c r="A154" s="143" t="s">
        <v>423</v>
      </c>
      <c r="B154" s="143" t="s">
        <v>425</v>
      </c>
      <c r="C154" s="144">
        <v>39690</v>
      </c>
      <c r="D154" s="144">
        <v>39697</v>
      </c>
      <c r="E154" s="143" t="s">
        <v>426</v>
      </c>
      <c r="F154" s="143"/>
      <c r="G154" s="145"/>
      <c r="H154" s="143"/>
      <c r="I154" s="143" t="s">
        <v>429</v>
      </c>
      <c r="J154" s="143" t="s">
        <v>424</v>
      </c>
      <c r="K154" s="143" t="s">
        <v>428</v>
      </c>
      <c r="L154" s="143" t="s">
        <v>427</v>
      </c>
      <c r="M154" s="143"/>
      <c r="N154" s="151"/>
      <c r="O154" s="148">
        <v>1200</v>
      </c>
      <c r="P154" s="143"/>
      <c r="Q154" s="143"/>
      <c r="R154" s="145">
        <v>1</v>
      </c>
      <c r="S154" s="145">
        <v>7</v>
      </c>
      <c r="T154" s="145"/>
      <c r="U154" s="149">
        <v>300</v>
      </c>
      <c r="V154" s="143"/>
      <c r="W154" s="143"/>
      <c r="X154" s="143"/>
      <c r="Y154" s="143"/>
      <c r="Z154" s="143"/>
    </row>
    <row r="155" spans="1:26" s="143" customFormat="1">
      <c r="A155" s="143" t="s">
        <v>415</v>
      </c>
      <c r="B155" s="143" t="s">
        <v>706</v>
      </c>
      <c r="C155" s="144">
        <v>39557</v>
      </c>
      <c r="D155" s="144">
        <v>39564</v>
      </c>
      <c r="E155" s="143" t="s">
        <v>411</v>
      </c>
      <c r="G155" s="145">
        <v>78690</v>
      </c>
      <c r="I155" s="143" t="s">
        <v>23</v>
      </c>
      <c r="J155" s="143" t="s">
        <v>19</v>
      </c>
      <c r="K155" s="143" t="s">
        <v>412</v>
      </c>
      <c r="L155" s="143" t="s">
        <v>414</v>
      </c>
      <c r="N155" s="147"/>
      <c r="O155" s="148">
        <v>898</v>
      </c>
      <c r="Q155" s="143" t="s">
        <v>419</v>
      </c>
      <c r="R155" s="145">
        <v>1</v>
      </c>
      <c r="S155" s="145">
        <v>6</v>
      </c>
      <c r="T155" s="145"/>
      <c r="U155" s="149">
        <v>200</v>
      </c>
    </row>
    <row r="156" spans="1:26" s="143" customFormat="1">
      <c r="A156" s="143" t="s">
        <v>430</v>
      </c>
      <c r="B156" s="143" t="s">
        <v>431</v>
      </c>
      <c r="C156" s="144">
        <v>39583</v>
      </c>
      <c r="D156" s="144">
        <v>39592</v>
      </c>
      <c r="E156" s="143" t="s">
        <v>432</v>
      </c>
      <c r="G156" s="145">
        <v>60380</v>
      </c>
      <c r="H156" s="143" t="s">
        <v>433</v>
      </c>
      <c r="I156" s="143" t="s">
        <v>23</v>
      </c>
      <c r="J156" s="143" t="s">
        <v>19</v>
      </c>
      <c r="K156" s="143" t="s">
        <v>435</v>
      </c>
      <c r="L156" s="143" t="s">
        <v>436</v>
      </c>
      <c r="N156" s="147" t="s">
        <v>434</v>
      </c>
      <c r="O156" s="148">
        <v>1100</v>
      </c>
      <c r="Q156" s="143" t="s">
        <v>440</v>
      </c>
      <c r="R156" s="145">
        <v>1</v>
      </c>
      <c r="S156" s="145">
        <v>2</v>
      </c>
      <c r="T156" s="145">
        <v>1</v>
      </c>
      <c r="U156" s="150">
        <v>250</v>
      </c>
    </row>
    <row r="157" spans="1:26" s="143" customFormat="1">
      <c r="A157" s="143" t="s">
        <v>203</v>
      </c>
      <c r="B157" s="143" t="s">
        <v>202</v>
      </c>
      <c r="C157" s="144">
        <v>39627</v>
      </c>
      <c r="D157" s="144">
        <v>39634</v>
      </c>
      <c r="E157" s="143" t="s">
        <v>420</v>
      </c>
      <c r="G157" s="145">
        <v>76440</v>
      </c>
      <c r="H157" s="143" t="s">
        <v>421</v>
      </c>
      <c r="I157" s="143" t="s">
        <v>23</v>
      </c>
      <c r="J157" s="143" t="s">
        <v>19</v>
      </c>
      <c r="K157" s="143" t="s">
        <v>403</v>
      </c>
      <c r="L157" s="143" t="s">
        <v>404</v>
      </c>
      <c r="N157" s="151" t="s">
        <v>402</v>
      </c>
      <c r="O157" s="148">
        <v>1300</v>
      </c>
      <c r="Q157" s="143" t="s">
        <v>422</v>
      </c>
      <c r="R157" s="145">
        <v>1</v>
      </c>
      <c r="S157" s="145">
        <v>8</v>
      </c>
      <c r="T157" s="145">
        <v>1</v>
      </c>
      <c r="U157" s="149">
        <f>O157/4</f>
        <v>325</v>
      </c>
    </row>
    <row r="158" spans="1:26" s="143" customFormat="1">
      <c r="A158" s="143" t="s">
        <v>383</v>
      </c>
      <c r="B158" s="143" t="s">
        <v>388</v>
      </c>
      <c r="C158" s="144">
        <v>39648</v>
      </c>
      <c r="D158" s="144">
        <v>39669</v>
      </c>
      <c r="E158" s="143" t="s">
        <v>384</v>
      </c>
      <c r="G158" s="145">
        <v>94300</v>
      </c>
      <c r="H158" s="143" t="s">
        <v>385</v>
      </c>
      <c r="I158" s="143" t="s">
        <v>23</v>
      </c>
      <c r="J158" s="143" t="s">
        <v>19</v>
      </c>
      <c r="K158" s="143" t="s">
        <v>386</v>
      </c>
      <c r="L158" s="143" t="s">
        <v>387</v>
      </c>
      <c r="N158" s="151"/>
      <c r="O158" s="148">
        <v>4250</v>
      </c>
      <c r="R158" s="145">
        <v>3</v>
      </c>
      <c r="S158" s="145">
        <v>5</v>
      </c>
      <c r="T158" s="145"/>
      <c r="U158" s="149">
        <v>1036</v>
      </c>
    </row>
    <row r="159" spans="1:26" s="143" customFormat="1">
      <c r="A159" s="143" t="s">
        <v>389</v>
      </c>
      <c r="B159" s="143" t="s">
        <v>394</v>
      </c>
      <c r="C159" s="144">
        <v>39669</v>
      </c>
      <c r="D159" s="144">
        <v>39683</v>
      </c>
      <c r="E159" s="143" t="s">
        <v>390</v>
      </c>
      <c r="G159" s="145">
        <v>59370</v>
      </c>
      <c r="H159" s="143" t="s">
        <v>391</v>
      </c>
      <c r="I159" s="143" t="s">
        <v>23</v>
      </c>
      <c r="J159" s="143" t="s">
        <v>19</v>
      </c>
      <c r="K159" s="143" t="s">
        <v>392</v>
      </c>
      <c r="N159" s="151"/>
      <c r="O159" s="148">
        <v>3000</v>
      </c>
      <c r="R159" s="145">
        <v>2</v>
      </c>
      <c r="S159" s="145">
        <v>4</v>
      </c>
      <c r="T159" s="145">
        <v>1</v>
      </c>
      <c r="U159" s="149">
        <v>750</v>
      </c>
    </row>
    <row r="160" spans="1:26" s="143" customFormat="1">
      <c r="A160" s="143" t="s">
        <v>474</v>
      </c>
      <c r="B160" s="143" t="s">
        <v>473</v>
      </c>
      <c r="C160" s="144">
        <v>39746</v>
      </c>
      <c r="D160" s="144">
        <v>39753</v>
      </c>
      <c r="G160" s="145"/>
      <c r="I160" s="143" t="s">
        <v>23</v>
      </c>
      <c r="J160" s="143" t="s">
        <v>19</v>
      </c>
      <c r="K160" s="143" t="s">
        <v>475</v>
      </c>
      <c r="M160" s="143" t="s">
        <v>476</v>
      </c>
      <c r="N160" s="147" t="s">
        <v>472</v>
      </c>
      <c r="O160" s="148">
        <v>800</v>
      </c>
      <c r="R160" s="145">
        <v>1</v>
      </c>
      <c r="S160" s="145">
        <v>4</v>
      </c>
      <c r="T160" s="145">
        <v>1</v>
      </c>
      <c r="U160" s="149">
        <v>200</v>
      </c>
    </row>
    <row r="161" spans="1:26" s="143" customFormat="1">
      <c r="A161" s="143" t="s">
        <v>486</v>
      </c>
      <c r="B161" s="143" t="s">
        <v>487</v>
      </c>
      <c r="C161" s="144">
        <v>39900</v>
      </c>
      <c r="D161" s="144">
        <v>39907</v>
      </c>
      <c r="E161" s="143" t="s">
        <v>488</v>
      </c>
      <c r="G161" s="145">
        <v>95130</v>
      </c>
      <c r="H161" s="143" t="s">
        <v>489</v>
      </c>
      <c r="I161" s="143" t="s">
        <v>23</v>
      </c>
      <c r="J161" s="143" t="s">
        <v>19</v>
      </c>
      <c r="K161" s="143" t="s">
        <v>490</v>
      </c>
      <c r="L161" s="173" t="s">
        <v>491</v>
      </c>
      <c r="N161" s="580" t="s">
        <v>492</v>
      </c>
      <c r="O161" s="581">
        <v>800</v>
      </c>
      <c r="R161" s="145">
        <v>1</v>
      </c>
      <c r="S161" s="145">
        <v>4</v>
      </c>
      <c r="T161" s="145">
        <v>0</v>
      </c>
      <c r="U161" s="174">
        <v>200</v>
      </c>
    </row>
    <row r="162" spans="1:26" s="143" customFormat="1">
      <c r="A162" s="143" t="s">
        <v>504</v>
      </c>
      <c r="B162" s="143" t="s">
        <v>98</v>
      </c>
      <c r="C162" s="144">
        <v>39921</v>
      </c>
      <c r="D162" s="144">
        <v>39928</v>
      </c>
      <c r="E162" s="143" t="s">
        <v>505</v>
      </c>
      <c r="G162" s="145">
        <v>78200</v>
      </c>
      <c r="H162" s="143" t="s">
        <v>506</v>
      </c>
      <c r="I162" s="143" t="s">
        <v>23</v>
      </c>
      <c r="J162" s="143" t="s">
        <v>19</v>
      </c>
      <c r="K162" s="143" t="s">
        <v>507</v>
      </c>
      <c r="L162" s="173" t="s">
        <v>508</v>
      </c>
      <c r="N162" s="147" t="s">
        <v>485</v>
      </c>
      <c r="O162" s="148">
        <v>870</v>
      </c>
      <c r="R162" s="145">
        <v>1</v>
      </c>
      <c r="S162" s="145">
        <v>2</v>
      </c>
      <c r="T162" s="145" t="s">
        <v>509</v>
      </c>
      <c r="U162" s="174">
        <v>200</v>
      </c>
    </row>
    <row r="163" spans="1:26" s="225" customFormat="1">
      <c r="A163" s="143" t="s">
        <v>519</v>
      </c>
      <c r="B163" s="143" t="s">
        <v>520</v>
      </c>
      <c r="C163" s="144">
        <v>40040</v>
      </c>
      <c r="D163" s="144">
        <v>40047</v>
      </c>
      <c r="E163" s="143" t="s">
        <v>521</v>
      </c>
      <c r="F163" s="143"/>
      <c r="G163" s="145">
        <v>78670</v>
      </c>
      <c r="H163" s="143" t="s">
        <v>522</v>
      </c>
      <c r="I163" s="143" t="s">
        <v>23</v>
      </c>
      <c r="J163" s="143" t="s">
        <v>19</v>
      </c>
      <c r="K163" s="143" t="s">
        <v>523</v>
      </c>
      <c r="L163" s="173" t="s">
        <v>524</v>
      </c>
      <c r="M163" s="143"/>
      <c r="N163" s="147" t="s">
        <v>525</v>
      </c>
      <c r="O163" s="148">
        <f>1490+42+70</f>
        <v>1602</v>
      </c>
      <c r="P163" s="143"/>
      <c r="Q163" s="143" t="s">
        <v>526</v>
      </c>
      <c r="R163" s="145">
        <v>1</v>
      </c>
      <c r="S163" s="145">
        <v>5</v>
      </c>
      <c r="T163" s="145">
        <v>2</v>
      </c>
      <c r="U163" s="174">
        <v>400</v>
      </c>
      <c r="V163" s="143"/>
      <c r="W163" s="143"/>
      <c r="X163" s="143"/>
      <c r="Y163" s="143"/>
      <c r="Z163" s="143"/>
    </row>
    <row r="164" spans="1:26" s="143" customFormat="1">
      <c r="A164" s="143" t="s">
        <v>587</v>
      </c>
      <c r="B164" s="143" t="s">
        <v>588</v>
      </c>
      <c r="C164" s="144">
        <v>40173</v>
      </c>
      <c r="D164" s="144">
        <v>40180</v>
      </c>
      <c r="E164" s="143" t="s">
        <v>586</v>
      </c>
      <c r="G164" s="145">
        <v>92400</v>
      </c>
      <c r="H164" s="143" t="s">
        <v>589</v>
      </c>
      <c r="I164" s="143" t="s">
        <v>23</v>
      </c>
      <c r="J164" s="143" t="s">
        <v>19</v>
      </c>
      <c r="K164" s="143" t="s">
        <v>590</v>
      </c>
      <c r="L164" s="143" t="s">
        <v>591</v>
      </c>
      <c r="N164" s="147" t="s">
        <v>593</v>
      </c>
      <c r="O164" s="148">
        <v>1050</v>
      </c>
      <c r="Q164" s="143" t="s">
        <v>592</v>
      </c>
      <c r="R164" s="145">
        <v>1</v>
      </c>
      <c r="S164" s="145">
        <v>4</v>
      </c>
      <c r="T164" s="145"/>
      <c r="U164" s="174">
        <v>300</v>
      </c>
    </row>
    <row r="165" spans="1:26" s="143" customFormat="1">
      <c r="A165" s="143" t="s">
        <v>504</v>
      </c>
      <c r="B165" s="143" t="s">
        <v>98</v>
      </c>
      <c r="C165" s="144">
        <v>39927</v>
      </c>
      <c r="D165" s="144">
        <v>39934</v>
      </c>
      <c r="E165" s="143" t="s">
        <v>505</v>
      </c>
      <c r="G165" s="145">
        <v>78200</v>
      </c>
      <c r="H165" s="143" t="s">
        <v>506</v>
      </c>
      <c r="I165" s="143" t="s">
        <v>23</v>
      </c>
      <c r="J165" s="143" t="s">
        <v>19</v>
      </c>
      <c r="K165" s="143" t="s">
        <v>507</v>
      </c>
      <c r="L165" s="173" t="s">
        <v>508</v>
      </c>
      <c r="N165" s="147" t="s">
        <v>485</v>
      </c>
      <c r="O165" s="148">
        <f>820+70</f>
        <v>890</v>
      </c>
      <c r="Q165" s="143" t="s">
        <v>509</v>
      </c>
      <c r="R165" s="145">
        <v>1</v>
      </c>
      <c r="S165" s="145">
        <v>2</v>
      </c>
      <c r="T165" s="145" t="s">
        <v>509</v>
      </c>
      <c r="U165" s="174">
        <v>205</v>
      </c>
    </row>
    <row r="166" spans="1:26" s="143" customFormat="1">
      <c r="A166" s="219" t="s">
        <v>700</v>
      </c>
      <c r="B166" s="219" t="s">
        <v>95</v>
      </c>
      <c r="C166" s="220">
        <v>40593</v>
      </c>
      <c r="D166" s="220">
        <v>40600</v>
      </c>
      <c r="E166" s="219" t="s">
        <v>701</v>
      </c>
      <c r="F166" s="219"/>
      <c r="G166" s="221">
        <v>28410</v>
      </c>
      <c r="H166" s="219" t="s">
        <v>702</v>
      </c>
      <c r="I166" s="219" t="s">
        <v>23</v>
      </c>
      <c r="J166" s="219" t="s">
        <v>19</v>
      </c>
      <c r="K166" s="219" t="s">
        <v>703</v>
      </c>
      <c r="L166" s="219" t="s">
        <v>703</v>
      </c>
      <c r="M166" s="219"/>
      <c r="N166" s="222" t="s">
        <v>704</v>
      </c>
      <c r="O166" s="223">
        <v>790</v>
      </c>
      <c r="P166" s="219"/>
      <c r="Q166" s="219" t="s">
        <v>705</v>
      </c>
      <c r="R166" s="221">
        <v>1</v>
      </c>
      <c r="S166" s="221">
        <v>4</v>
      </c>
      <c r="T166" s="221">
        <v>0</v>
      </c>
      <c r="U166" s="224">
        <v>400</v>
      </c>
      <c r="V166" s="219"/>
      <c r="W166" s="219"/>
      <c r="X166" s="219"/>
      <c r="Y166" s="219"/>
      <c r="Z166" s="219"/>
    </row>
    <row r="167" spans="1:26" s="143" customFormat="1">
      <c r="A167" s="219" t="s">
        <v>415</v>
      </c>
      <c r="B167" s="219" t="s">
        <v>706</v>
      </c>
      <c r="C167" s="220">
        <v>40642</v>
      </c>
      <c r="D167" s="220">
        <v>40649</v>
      </c>
      <c r="E167" s="219" t="s">
        <v>411</v>
      </c>
      <c r="F167" s="219"/>
      <c r="G167" s="221">
        <v>78690</v>
      </c>
      <c r="H167" s="219" t="s">
        <v>707</v>
      </c>
      <c r="I167" s="219" t="s">
        <v>23</v>
      </c>
      <c r="J167" s="219" t="s">
        <v>19</v>
      </c>
      <c r="K167" s="219" t="s">
        <v>412</v>
      </c>
      <c r="L167" s="219" t="s">
        <v>414</v>
      </c>
      <c r="M167" s="219"/>
      <c r="N167" s="222"/>
      <c r="O167" s="223">
        <f>790+21</f>
        <v>811</v>
      </c>
      <c r="P167" s="219"/>
      <c r="Q167" s="219" t="s">
        <v>708</v>
      </c>
      <c r="R167" s="221">
        <v>1</v>
      </c>
      <c r="S167" s="221">
        <v>6</v>
      </c>
      <c r="T167" s="221">
        <v>1</v>
      </c>
      <c r="U167" s="224">
        <v>197</v>
      </c>
      <c r="V167" s="219"/>
      <c r="W167" s="219"/>
      <c r="X167" s="219"/>
      <c r="Y167" s="219"/>
      <c r="Z167" s="219"/>
    </row>
    <row r="168" spans="1:26" s="143" customFormat="1">
      <c r="A168" s="715" t="s">
        <v>737</v>
      </c>
      <c r="B168" s="219" t="s">
        <v>738</v>
      </c>
      <c r="C168" s="220">
        <v>40649</v>
      </c>
      <c r="D168" s="220">
        <v>40656</v>
      </c>
      <c r="E168" s="219" t="s">
        <v>739</v>
      </c>
      <c r="F168" s="219"/>
      <c r="G168" s="221">
        <v>8200</v>
      </c>
      <c r="H168" s="219" t="s">
        <v>740</v>
      </c>
      <c r="I168" s="219" t="s">
        <v>23</v>
      </c>
      <c r="J168" s="219" t="s">
        <v>19</v>
      </c>
      <c r="K168" s="219" t="s">
        <v>741</v>
      </c>
      <c r="L168" s="219" t="s">
        <v>742</v>
      </c>
      <c r="M168" s="219"/>
      <c r="N168" s="222" t="s">
        <v>743</v>
      </c>
      <c r="O168" s="223">
        <v>790</v>
      </c>
      <c r="P168" s="219"/>
      <c r="Q168" s="219" t="s">
        <v>744</v>
      </c>
      <c r="R168" s="221">
        <v>1</v>
      </c>
      <c r="S168" s="221">
        <v>7</v>
      </c>
      <c r="T168" s="221">
        <v>0</v>
      </c>
      <c r="U168" s="224">
        <v>198</v>
      </c>
      <c r="V168" s="219"/>
      <c r="W168" s="219"/>
      <c r="X168" s="219"/>
      <c r="Y168" s="219"/>
      <c r="Z168" s="219"/>
    </row>
    <row r="169" spans="1:26" ht="13.2" hidden="1">
      <c r="H169" s="257"/>
      <c r="N169" s="156"/>
      <c r="O169" s="157"/>
      <c r="U169" s="258"/>
    </row>
    <row r="170" spans="1:26" ht="13.2" hidden="1">
      <c r="A170" s="259"/>
      <c r="H170" s="194"/>
      <c r="N170" s="156"/>
      <c r="O170" s="157"/>
      <c r="U170" s="260"/>
      <c r="V170" s="261"/>
    </row>
    <row r="171" spans="1:26" ht="13.8" hidden="1">
      <c r="A171" s="259"/>
      <c r="E171" s="262"/>
      <c r="N171" s="156"/>
      <c r="O171" s="157"/>
      <c r="U171" s="260"/>
      <c r="V171" s="263"/>
    </row>
    <row r="172" spans="1:26" ht="13.8" hidden="1">
      <c r="A172" s="259"/>
      <c r="E172" s="262"/>
      <c r="N172" s="156"/>
      <c r="O172" s="157"/>
      <c r="U172" s="258"/>
      <c r="V172" s="263"/>
    </row>
    <row r="173" spans="1:26" ht="13.8" hidden="1">
      <c r="A173" s="264"/>
      <c r="E173" s="262"/>
      <c r="N173" s="156"/>
      <c r="O173" s="157"/>
      <c r="U173" s="260"/>
      <c r="V173" s="263"/>
    </row>
    <row r="174" spans="1:26" ht="13.2" hidden="1">
      <c r="A174" s="264"/>
      <c r="L174" s="265"/>
      <c r="N174" s="156"/>
      <c r="O174" s="157"/>
      <c r="U174" s="266"/>
      <c r="V174" s="263"/>
    </row>
    <row r="175" spans="1:26" hidden="1">
      <c r="A175" s="153"/>
      <c r="L175" s="265"/>
      <c r="N175" s="156"/>
      <c r="O175" s="157"/>
      <c r="U175" s="266"/>
      <c r="V175" s="263"/>
    </row>
    <row r="176" spans="1:26" ht="13.2" hidden="1">
      <c r="E176" s="194"/>
      <c r="N176" s="267"/>
      <c r="O176" s="157"/>
      <c r="U176" s="268"/>
    </row>
    <row r="177" spans="1:26" ht="13.8" hidden="1">
      <c r="E177" s="262"/>
      <c r="L177" s="269">
        <f>O163-U163</f>
        <v>1202</v>
      </c>
      <c r="N177" s="267"/>
      <c r="O177" s="157"/>
      <c r="S177" s="140">
        <f>O166-U166</f>
        <v>390</v>
      </c>
      <c r="U177" s="260"/>
    </row>
    <row r="178" spans="1:26" ht="13.2" hidden="1">
      <c r="E178" s="194"/>
      <c r="N178" s="156"/>
      <c r="O178" s="157"/>
      <c r="U178" s="260"/>
    </row>
    <row r="179" spans="1:26" s="143" customFormat="1">
      <c r="A179" s="715" t="s">
        <v>685</v>
      </c>
      <c r="B179" s="219" t="s">
        <v>32</v>
      </c>
      <c r="C179" s="220">
        <v>40663</v>
      </c>
      <c r="D179" s="220">
        <v>40670</v>
      </c>
      <c r="E179" s="219" t="s">
        <v>686</v>
      </c>
      <c r="F179" s="219"/>
      <c r="G179" s="221">
        <v>63450</v>
      </c>
      <c r="H179" s="219" t="s">
        <v>687</v>
      </c>
      <c r="I179" s="219" t="s">
        <v>23</v>
      </c>
      <c r="J179" s="219" t="s">
        <v>19</v>
      </c>
      <c r="K179" s="219" t="s">
        <v>688</v>
      </c>
      <c r="L179" s="219" t="s">
        <v>689</v>
      </c>
      <c r="M179" s="219"/>
      <c r="N179" s="222" t="s">
        <v>690</v>
      </c>
      <c r="O179" s="223">
        <f>790+70</f>
        <v>860</v>
      </c>
      <c r="P179" s="219"/>
      <c r="Q179" s="219" t="s">
        <v>691</v>
      </c>
      <c r="R179" s="221">
        <v>1</v>
      </c>
      <c r="S179" s="221">
        <v>3</v>
      </c>
      <c r="T179" s="221">
        <v>0</v>
      </c>
      <c r="U179" s="224">
        <v>198</v>
      </c>
      <c r="V179" s="219"/>
      <c r="W179" s="219"/>
      <c r="X179" s="219"/>
      <c r="Y179" s="219"/>
      <c r="Z179" s="219"/>
    </row>
    <row r="180" spans="1:26" hidden="1">
      <c r="N180" s="156"/>
      <c r="O180" s="157"/>
      <c r="U180" s="260"/>
    </row>
    <row r="181" spans="1:26" hidden="1">
      <c r="N181" s="156"/>
      <c r="O181" s="157"/>
      <c r="U181" s="260"/>
    </row>
    <row r="182" spans="1:26" hidden="1">
      <c r="N182" s="156"/>
      <c r="O182" s="157"/>
      <c r="U182" s="260"/>
    </row>
    <row r="183" spans="1:26" ht="13.2" hidden="1">
      <c r="A183" s="136"/>
      <c r="B183" s="136"/>
      <c r="C183" s="137"/>
      <c r="D183" s="137"/>
      <c r="E183" s="194"/>
      <c r="F183" s="136"/>
      <c r="G183" s="138"/>
      <c r="H183" s="136"/>
      <c r="I183" s="136"/>
      <c r="J183" s="136"/>
      <c r="K183" s="136"/>
      <c r="L183" s="161"/>
      <c r="M183" s="136"/>
      <c r="N183" s="161"/>
      <c r="O183" s="136"/>
      <c r="P183" s="136"/>
      <c r="S183" s="138"/>
      <c r="T183" s="138"/>
      <c r="U183" s="235"/>
    </row>
    <row r="184" spans="1:26" ht="10.8" thickBot="1">
      <c r="A184" s="219" t="s">
        <v>753</v>
      </c>
      <c r="B184" s="219"/>
      <c r="C184" s="220">
        <v>40679</v>
      </c>
      <c r="D184" s="220">
        <v>40681</v>
      </c>
      <c r="E184" s="219"/>
      <c r="F184" s="219"/>
      <c r="G184" s="221"/>
      <c r="H184" s="219"/>
      <c r="I184" s="219" t="s">
        <v>23</v>
      </c>
      <c r="J184" s="219" t="s">
        <v>19</v>
      </c>
      <c r="K184" s="219"/>
      <c r="L184" s="219"/>
      <c r="M184" s="219"/>
      <c r="N184" s="222" t="s">
        <v>754</v>
      </c>
      <c r="O184" s="223">
        <v>400</v>
      </c>
      <c r="P184" s="219"/>
      <c r="Q184" s="219"/>
      <c r="R184" s="221">
        <v>1</v>
      </c>
      <c r="S184" s="221">
        <v>4</v>
      </c>
      <c r="T184" s="221">
        <v>0</v>
      </c>
      <c r="U184" s="597">
        <v>400</v>
      </c>
      <c r="V184" s="219"/>
      <c r="W184" s="219"/>
      <c r="X184" s="219"/>
      <c r="Y184" s="219"/>
      <c r="Z184" s="219"/>
    </row>
    <row r="185" spans="1:26" ht="10.8" thickBot="1">
      <c r="A185" s="167" t="s">
        <v>729</v>
      </c>
      <c r="B185" s="534" t="s">
        <v>730</v>
      </c>
      <c r="C185" s="144">
        <v>40775</v>
      </c>
      <c r="D185" s="562">
        <v>40789</v>
      </c>
      <c r="E185" s="534" t="s">
        <v>732</v>
      </c>
      <c r="F185" s="143"/>
      <c r="G185" s="145">
        <v>54000</v>
      </c>
      <c r="H185" s="143" t="s">
        <v>733</v>
      </c>
      <c r="I185" s="143" t="s">
        <v>23</v>
      </c>
      <c r="J185" s="143" t="s">
        <v>19</v>
      </c>
      <c r="K185" s="143" t="s">
        <v>734</v>
      </c>
      <c r="L185" s="143" t="s">
        <v>735</v>
      </c>
      <c r="M185" s="143"/>
      <c r="N185" s="147" t="s">
        <v>731</v>
      </c>
      <c r="O185" s="148">
        <f>1590+1390</f>
        <v>2980</v>
      </c>
      <c r="P185" s="143"/>
      <c r="Q185" s="143" t="s">
        <v>736</v>
      </c>
      <c r="R185" s="145">
        <v>2</v>
      </c>
      <c r="S185" s="145">
        <v>4</v>
      </c>
      <c r="T185" s="145"/>
      <c r="U185" s="581">
        <v>745</v>
      </c>
      <c r="V185" s="143"/>
      <c r="W185" s="143"/>
      <c r="X185" s="143"/>
      <c r="Y185" s="143"/>
      <c r="Z185" s="143"/>
    </row>
    <row r="186" spans="1:26" ht="10.8" thickBot="1">
      <c r="A186" s="207" t="s">
        <v>176</v>
      </c>
      <c r="B186" s="529" t="s">
        <v>177</v>
      </c>
      <c r="C186" s="546">
        <v>40827</v>
      </c>
      <c r="D186" s="558">
        <v>40866</v>
      </c>
      <c r="E186" s="530" t="s">
        <v>175</v>
      </c>
      <c r="F186" s="143"/>
      <c r="G186" s="145">
        <v>41000</v>
      </c>
      <c r="H186" s="143" t="s">
        <v>178</v>
      </c>
      <c r="I186" s="143" t="s">
        <v>23</v>
      </c>
      <c r="J186" s="143" t="s">
        <v>19</v>
      </c>
      <c r="K186" s="143" t="s">
        <v>792</v>
      </c>
      <c r="L186" s="143" t="s">
        <v>808</v>
      </c>
      <c r="M186" s="143"/>
      <c r="N186" s="147" t="s">
        <v>174</v>
      </c>
      <c r="O186" s="148">
        <f>690+70</f>
        <v>760</v>
      </c>
      <c r="P186" s="143"/>
      <c r="Q186" s="143" t="s">
        <v>674</v>
      </c>
      <c r="R186" s="145">
        <v>1</v>
      </c>
      <c r="S186" s="145">
        <v>4</v>
      </c>
      <c r="T186" s="145"/>
      <c r="U186" s="581">
        <v>172.5</v>
      </c>
      <c r="V186" s="143"/>
      <c r="W186" s="143"/>
      <c r="X186" s="143"/>
      <c r="Y186" s="143"/>
      <c r="Z186" s="143"/>
    </row>
    <row r="187" spans="1:26" ht="10.8" thickBot="1">
      <c r="A187" s="143" t="s">
        <v>780</v>
      </c>
      <c r="B187" s="143" t="s">
        <v>781</v>
      </c>
      <c r="C187" s="144">
        <v>40835</v>
      </c>
      <c r="D187" s="558">
        <v>40848</v>
      </c>
      <c r="E187" s="530" t="s">
        <v>782</v>
      </c>
      <c r="F187" s="143"/>
      <c r="G187" s="145">
        <v>57200</v>
      </c>
      <c r="H187" s="143" t="s">
        <v>783</v>
      </c>
      <c r="I187" s="143" t="s">
        <v>23</v>
      </c>
      <c r="J187" s="143" t="s">
        <v>19</v>
      </c>
      <c r="K187" s="143"/>
      <c r="L187" s="143" t="s">
        <v>809</v>
      </c>
      <c r="M187" s="143"/>
      <c r="N187" s="147" t="s">
        <v>784</v>
      </c>
      <c r="O187" s="148">
        <f>600+600</f>
        <v>1200</v>
      </c>
      <c r="P187" s="143"/>
      <c r="Q187" s="143" t="s">
        <v>199</v>
      </c>
      <c r="R187" s="145">
        <v>2</v>
      </c>
      <c r="S187" s="145">
        <v>2</v>
      </c>
      <c r="T187" s="145">
        <v>2</v>
      </c>
      <c r="U187" s="581">
        <v>300</v>
      </c>
      <c r="V187" s="143"/>
      <c r="W187" s="143"/>
      <c r="X187" s="143"/>
      <c r="Y187" s="143"/>
      <c r="Z187" s="143"/>
    </row>
    <row r="188" spans="1:26" ht="10.8" thickBot="1">
      <c r="A188" s="508" t="s">
        <v>873</v>
      </c>
      <c r="B188" s="531" t="s">
        <v>874</v>
      </c>
      <c r="C188" s="144">
        <v>40978</v>
      </c>
      <c r="D188" s="558">
        <v>40985</v>
      </c>
      <c r="E188" s="530" t="s">
        <v>888</v>
      </c>
      <c r="F188" s="143"/>
      <c r="G188" s="145">
        <v>76190</v>
      </c>
      <c r="H188" s="143" t="s">
        <v>889</v>
      </c>
      <c r="I188" s="143" t="s">
        <v>23</v>
      </c>
      <c r="J188" s="143" t="s">
        <v>19</v>
      </c>
      <c r="K188" s="143" t="s">
        <v>891</v>
      </c>
      <c r="L188" s="143" t="s">
        <v>890</v>
      </c>
      <c r="M188" s="143"/>
      <c r="N188" s="147" t="s">
        <v>871</v>
      </c>
      <c r="O188" s="148">
        <v>690</v>
      </c>
      <c r="P188" s="143"/>
      <c r="Q188" s="143"/>
      <c r="R188" s="145">
        <v>1</v>
      </c>
      <c r="S188" s="145" t="s">
        <v>353</v>
      </c>
      <c r="T188" s="145">
        <v>0</v>
      </c>
      <c r="U188" s="586">
        <v>172.25</v>
      </c>
      <c r="V188" s="237">
        <f>O188-U188</f>
        <v>517.75</v>
      </c>
      <c r="W188" s="143" t="s">
        <v>872</v>
      </c>
      <c r="X188" s="143"/>
      <c r="Y188" s="143"/>
      <c r="Z188" s="143"/>
    </row>
    <row r="189" spans="1:26" ht="10.8" thickBot="1">
      <c r="A189" s="143" t="s">
        <v>486</v>
      </c>
      <c r="B189" s="143" t="s">
        <v>487</v>
      </c>
      <c r="C189" s="144">
        <v>40985</v>
      </c>
      <c r="D189" s="558">
        <v>40992</v>
      </c>
      <c r="E189" s="530" t="s">
        <v>488</v>
      </c>
      <c r="F189" s="143"/>
      <c r="G189" s="145">
        <v>95130</v>
      </c>
      <c r="H189" s="143" t="s">
        <v>489</v>
      </c>
      <c r="I189" s="143" t="s">
        <v>23</v>
      </c>
      <c r="J189" s="143" t="s">
        <v>19</v>
      </c>
      <c r="K189" s="143" t="s">
        <v>490</v>
      </c>
      <c r="L189" s="143" t="s">
        <v>491</v>
      </c>
      <c r="M189" s="143"/>
      <c r="N189" s="147" t="s">
        <v>492</v>
      </c>
      <c r="O189" s="148">
        <v>690</v>
      </c>
      <c r="P189" s="143"/>
      <c r="Q189" s="143"/>
      <c r="R189" s="145">
        <v>1</v>
      </c>
      <c r="S189" s="145">
        <v>4</v>
      </c>
      <c r="T189" s="145">
        <v>0</v>
      </c>
      <c r="U189" s="586">
        <f>O189/4</f>
        <v>172.5</v>
      </c>
      <c r="V189" s="143"/>
      <c r="W189" s="143"/>
      <c r="X189" s="143"/>
      <c r="Y189" s="143"/>
      <c r="Z189" s="143"/>
    </row>
    <row r="190" spans="1:26" ht="10.8" thickBot="1">
      <c r="A190" s="167" t="s">
        <v>827</v>
      </c>
      <c r="B190" s="534" t="s">
        <v>99</v>
      </c>
      <c r="C190" s="144">
        <v>41020</v>
      </c>
      <c r="D190" s="559">
        <v>41027</v>
      </c>
      <c r="E190" s="529" t="s">
        <v>831</v>
      </c>
      <c r="F190" s="143"/>
      <c r="G190" s="145">
        <v>6700</v>
      </c>
      <c r="H190" s="143" t="s">
        <v>832</v>
      </c>
      <c r="I190" s="143" t="s">
        <v>23</v>
      </c>
      <c r="J190" s="143" t="s">
        <v>19</v>
      </c>
      <c r="K190" s="143" t="s">
        <v>833</v>
      </c>
      <c r="L190" s="143" t="s">
        <v>834</v>
      </c>
      <c r="M190" s="143"/>
      <c r="N190" s="147" t="s">
        <v>928</v>
      </c>
      <c r="O190" s="148">
        <v>790</v>
      </c>
      <c r="P190" s="143"/>
      <c r="Q190" s="143" t="s">
        <v>828</v>
      </c>
      <c r="R190" s="145">
        <v>1</v>
      </c>
      <c r="S190" s="145">
        <v>6</v>
      </c>
      <c r="T190" s="145">
        <v>0</v>
      </c>
      <c r="U190" s="586">
        <v>200</v>
      </c>
      <c r="V190" s="143"/>
      <c r="W190" s="143"/>
      <c r="X190" s="143"/>
      <c r="Y190" s="143"/>
      <c r="Z190" s="143"/>
    </row>
    <row r="191" spans="1:26" ht="10.8" thickBot="1">
      <c r="A191" s="207" t="s">
        <v>504</v>
      </c>
      <c r="B191" s="529" t="s">
        <v>98</v>
      </c>
      <c r="C191" s="144">
        <v>41209</v>
      </c>
      <c r="D191" s="559">
        <v>41216</v>
      </c>
      <c r="E191" s="529" t="s">
        <v>505</v>
      </c>
      <c r="F191" s="143"/>
      <c r="G191" s="145">
        <v>78200</v>
      </c>
      <c r="H191" s="143" t="s">
        <v>506</v>
      </c>
      <c r="I191" s="143" t="s">
        <v>23</v>
      </c>
      <c r="J191" s="143" t="s">
        <v>19</v>
      </c>
      <c r="K191" s="143" t="s">
        <v>507</v>
      </c>
      <c r="L191" s="173" t="s">
        <v>508</v>
      </c>
      <c r="M191" s="143"/>
      <c r="N191" s="147" t="s">
        <v>485</v>
      </c>
      <c r="O191" s="148">
        <f>890+70</f>
        <v>960</v>
      </c>
      <c r="P191" s="143"/>
      <c r="Q191" s="143"/>
      <c r="R191" s="145">
        <v>1</v>
      </c>
      <c r="S191" s="145">
        <v>2</v>
      </c>
      <c r="T191" s="145" t="s">
        <v>509</v>
      </c>
      <c r="U191" s="600">
        <v>223</v>
      </c>
      <c r="V191" s="238">
        <v>41102</v>
      </c>
      <c r="W191" s="143" t="s">
        <v>946</v>
      </c>
      <c r="X191" s="143"/>
      <c r="Y191" s="143"/>
      <c r="Z191" s="143"/>
    </row>
    <row r="192" spans="1:26">
      <c r="A192" s="143" t="s">
        <v>1038</v>
      </c>
      <c r="B192" s="143" t="s">
        <v>1039</v>
      </c>
      <c r="C192" s="144">
        <v>41264</v>
      </c>
      <c r="D192" s="144">
        <v>41269</v>
      </c>
      <c r="E192" s="143" t="s">
        <v>1037</v>
      </c>
      <c r="F192" s="143"/>
      <c r="G192" s="145">
        <v>92160</v>
      </c>
      <c r="H192" s="143" t="s">
        <v>1040</v>
      </c>
      <c r="I192" s="143" t="s">
        <v>23</v>
      </c>
      <c r="J192" s="143" t="s">
        <v>19</v>
      </c>
      <c r="K192" s="143" t="s">
        <v>1041</v>
      </c>
      <c r="L192" s="173" t="s">
        <v>1041</v>
      </c>
      <c r="M192" s="143"/>
      <c r="N192" s="147" t="s">
        <v>1042</v>
      </c>
      <c r="O192" s="148">
        <v>760</v>
      </c>
      <c r="P192" s="143"/>
      <c r="Q192" s="143" t="s">
        <v>1043</v>
      </c>
      <c r="R192" s="145">
        <v>1</v>
      </c>
      <c r="S192" s="145">
        <v>2</v>
      </c>
      <c r="T192" s="145"/>
      <c r="U192" s="600">
        <v>0</v>
      </c>
      <c r="V192" s="238"/>
      <c r="W192" s="143" t="s">
        <v>1044</v>
      </c>
      <c r="X192" s="143"/>
      <c r="Y192" s="143"/>
      <c r="Z192" s="143"/>
    </row>
    <row r="193" spans="1:26">
      <c r="A193" s="225" t="s">
        <v>1002</v>
      </c>
      <c r="B193" s="225" t="s">
        <v>1003</v>
      </c>
      <c r="C193" s="226">
        <v>41266</v>
      </c>
      <c r="D193" s="226">
        <v>41273</v>
      </c>
      <c r="E193" s="225"/>
      <c r="F193" s="225"/>
      <c r="G193" s="227"/>
      <c r="H193" s="225"/>
      <c r="I193" s="225" t="s">
        <v>23</v>
      </c>
      <c r="J193" s="225" t="s">
        <v>19</v>
      </c>
      <c r="K193" s="225"/>
      <c r="L193" s="246"/>
      <c r="M193" s="225"/>
      <c r="N193" s="228" t="s">
        <v>1004</v>
      </c>
      <c r="O193" s="229">
        <v>272.5</v>
      </c>
      <c r="P193" s="225"/>
      <c r="Q193" s="225"/>
      <c r="R193" s="227">
        <v>0</v>
      </c>
      <c r="S193" s="227"/>
      <c r="T193" s="227"/>
      <c r="U193" s="756">
        <v>272.5</v>
      </c>
      <c r="V193" s="248">
        <v>41190</v>
      </c>
      <c r="W193" s="225"/>
      <c r="X193" s="225"/>
      <c r="Y193" s="225"/>
      <c r="Z193" s="225"/>
    </row>
    <row r="194" spans="1:26">
      <c r="A194" s="143" t="s">
        <v>961</v>
      </c>
      <c r="B194" s="143" t="s">
        <v>962</v>
      </c>
      <c r="C194" s="144">
        <v>41279</v>
      </c>
      <c r="D194" s="144">
        <v>41289</v>
      </c>
      <c r="E194" s="143" t="s">
        <v>963</v>
      </c>
      <c r="F194" s="143"/>
      <c r="G194" s="145">
        <v>13810</v>
      </c>
      <c r="H194" s="143" t="s">
        <v>964</v>
      </c>
      <c r="I194" s="143" t="s">
        <v>23</v>
      </c>
      <c r="J194" s="143" t="s">
        <v>19</v>
      </c>
      <c r="K194" s="143" t="s">
        <v>965</v>
      </c>
      <c r="L194" s="143" t="s">
        <v>966</v>
      </c>
      <c r="M194" s="143"/>
      <c r="N194" s="147" t="s">
        <v>967</v>
      </c>
      <c r="O194" s="148">
        <f>990+70+60</f>
        <v>1120</v>
      </c>
      <c r="P194" s="143"/>
      <c r="Q194" s="143" t="s">
        <v>968</v>
      </c>
      <c r="R194" s="145">
        <v>2</v>
      </c>
      <c r="S194" s="145" t="s">
        <v>969</v>
      </c>
      <c r="T194" s="145">
        <v>2</v>
      </c>
      <c r="U194" s="586">
        <v>250</v>
      </c>
      <c r="V194" s="251">
        <v>41105</v>
      </c>
      <c r="W194" s="143"/>
      <c r="X194" s="143"/>
      <c r="Y194" s="143"/>
      <c r="Z194" s="143"/>
    </row>
    <row r="195" spans="1:26">
      <c r="A195" s="143" t="s">
        <v>1106</v>
      </c>
      <c r="B195" s="143"/>
      <c r="C195" s="144">
        <v>41378</v>
      </c>
      <c r="D195" s="144">
        <v>41388</v>
      </c>
      <c r="E195" s="143" t="s">
        <v>1107</v>
      </c>
      <c r="F195" s="143"/>
      <c r="G195" s="145">
        <v>78120</v>
      </c>
      <c r="H195" s="143" t="s">
        <v>1108</v>
      </c>
      <c r="I195" s="143" t="s">
        <v>23</v>
      </c>
      <c r="J195" s="143" t="s">
        <v>19</v>
      </c>
      <c r="K195" s="143"/>
      <c r="L195" s="143" t="s">
        <v>1109</v>
      </c>
      <c r="M195" s="143"/>
      <c r="N195" s="147" t="s">
        <v>1110</v>
      </c>
      <c r="O195" s="148">
        <f>790+790/2</f>
        <v>1185</v>
      </c>
      <c r="P195" s="143"/>
      <c r="Q195" s="143" t="s">
        <v>1111</v>
      </c>
      <c r="R195" s="145">
        <v>2</v>
      </c>
      <c r="S195" s="145"/>
      <c r="T195" s="145">
        <v>1</v>
      </c>
      <c r="U195" s="586">
        <v>385</v>
      </c>
      <c r="V195" s="238">
        <v>41339</v>
      </c>
      <c r="W195" s="143"/>
      <c r="X195" s="143"/>
      <c r="Y195" s="143"/>
      <c r="Z195" s="143"/>
    </row>
    <row r="196" spans="1:26">
      <c r="A196" s="225" t="s">
        <v>1072</v>
      </c>
      <c r="B196" s="225" t="s">
        <v>1073</v>
      </c>
      <c r="C196" s="226">
        <v>41503</v>
      </c>
      <c r="D196" s="226">
        <v>41517</v>
      </c>
      <c r="E196" s="225" t="s">
        <v>1074</v>
      </c>
      <c r="F196" s="225"/>
      <c r="G196" s="227">
        <v>74500</v>
      </c>
      <c r="H196" s="225" t="s">
        <v>1075</v>
      </c>
      <c r="I196" s="225" t="s">
        <v>23</v>
      </c>
      <c r="J196" s="225" t="s">
        <v>19</v>
      </c>
      <c r="K196" s="225" t="s">
        <v>1077</v>
      </c>
      <c r="L196" s="225" t="s">
        <v>1076</v>
      </c>
      <c r="M196" s="225"/>
      <c r="N196" s="228" t="s">
        <v>1078</v>
      </c>
      <c r="O196" s="229">
        <v>745</v>
      </c>
      <c r="P196" s="225"/>
      <c r="Q196" s="225" t="s">
        <v>1079</v>
      </c>
      <c r="R196" s="227">
        <v>0</v>
      </c>
      <c r="S196" s="227" t="s">
        <v>1080</v>
      </c>
      <c r="T196" s="227">
        <v>2</v>
      </c>
      <c r="U196" s="588">
        <f>O196/4</f>
        <v>186.25</v>
      </c>
      <c r="V196" s="256">
        <v>41293</v>
      </c>
      <c r="W196" s="225" t="s">
        <v>1081</v>
      </c>
      <c r="X196" s="225"/>
      <c r="Y196" s="225"/>
      <c r="Z196" s="225"/>
    </row>
    <row r="197" spans="1:26">
      <c r="A197" s="143" t="s">
        <v>1245</v>
      </c>
      <c r="B197" s="143" t="s">
        <v>1246</v>
      </c>
      <c r="C197" s="144">
        <v>41699</v>
      </c>
      <c r="D197" s="144">
        <v>41706</v>
      </c>
      <c r="E197" s="143" t="s">
        <v>1248</v>
      </c>
      <c r="F197" s="143"/>
      <c r="G197" s="145">
        <v>60400</v>
      </c>
      <c r="H197" s="143" t="s">
        <v>1249</v>
      </c>
      <c r="I197" s="143" t="s">
        <v>23</v>
      </c>
      <c r="J197" s="143" t="s">
        <v>19</v>
      </c>
      <c r="K197" s="143" t="s">
        <v>1247</v>
      </c>
      <c r="L197" s="173"/>
      <c r="M197" s="143"/>
      <c r="N197" s="147" t="s">
        <v>1250</v>
      </c>
      <c r="O197" s="148">
        <v>600</v>
      </c>
      <c r="P197" s="143"/>
      <c r="Q197" s="143"/>
      <c r="R197" s="145">
        <v>1</v>
      </c>
      <c r="S197" s="145">
        <v>6</v>
      </c>
      <c r="T197" s="145">
        <v>0</v>
      </c>
      <c r="U197" s="600"/>
      <c r="V197" s="238">
        <v>41685</v>
      </c>
      <c r="W197" s="143"/>
      <c r="X197" s="143" t="s">
        <v>1217</v>
      </c>
      <c r="Y197" s="143"/>
      <c r="Z197" s="143"/>
    </row>
    <row r="198" spans="1:26" ht="11.55" customHeight="1">
      <c r="A198" s="143" t="s">
        <v>1205</v>
      </c>
      <c r="B198" s="143" t="s">
        <v>1204</v>
      </c>
      <c r="C198" s="144">
        <v>41755</v>
      </c>
      <c r="D198" s="144">
        <v>41762</v>
      </c>
      <c r="E198" s="143"/>
      <c r="F198" s="143"/>
      <c r="G198" s="145"/>
      <c r="H198" s="143" t="s">
        <v>1206</v>
      </c>
      <c r="I198" s="143" t="s">
        <v>23</v>
      </c>
      <c r="J198" s="143" t="s">
        <v>19</v>
      </c>
      <c r="K198" s="143"/>
      <c r="L198" s="143" t="s">
        <v>1268</v>
      </c>
      <c r="M198" s="143"/>
      <c r="N198" s="147" t="s">
        <v>1203</v>
      </c>
      <c r="O198" s="148">
        <v>790</v>
      </c>
      <c r="P198" s="143"/>
      <c r="Q198" s="143" t="s">
        <v>1207</v>
      </c>
      <c r="R198" s="145">
        <v>1</v>
      </c>
      <c r="S198" s="145" t="s">
        <v>1208</v>
      </c>
      <c r="T198" s="145">
        <v>1</v>
      </c>
      <c r="U198" s="586">
        <f>790/4</f>
        <v>197.5</v>
      </c>
      <c r="V198" s="238">
        <v>41615</v>
      </c>
      <c r="W198" s="143"/>
      <c r="X198" s="143" t="s">
        <v>1154</v>
      </c>
      <c r="Y198" s="143"/>
      <c r="Z198" s="143"/>
    </row>
    <row r="199" spans="1:26">
      <c r="A199" s="143" t="s">
        <v>1276</v>
      </c>
      <c r="B199" s="143" t="s">
        <v>1277</v>
      </c>
      <c r="C199" s="144">
        <v>41867</v>
      </c>
      <c r="D199" s="144">
        <v>41874</v>
      </c>
      <c r="E199" s="143" t="s">
        <v>1282</v>
      </c>
      <c r="F199" s="143"/>
      <c r="G199" s="145">
        <v>95550</v>
      </c>
      <c r="H199" s="143" t="s">
        <v>1283</v>
      </c>
      <c r="I199" s="143" t="s">
        <v>23</v>
      </c>
      <c r="J199" s="143" t="s">
        <v>19</v>
      </c>
      <c r="K199" s="143"/>
      <c r="L199" s="143" t="s">
        <v>1284</v>
      </c>
      <c r="M199" s="143"/>
      <c r="N199" s="147" t="s">
        <v>1292</v>
      </c>
      <c r="O199" s="148">
        <v>1350</v>
      </c>
      <c r="P199" s="143"/>
      <c r="Q199" s="143" t="s">
        <v>1278</v>
      </c>
      <c r="R199" s="145">
        <v>1</v>
      </c>
      <c r="S199" s="145" t="s">
        <v>1279</v>
      </c>
      <c r="T199" s="145">
        <v>0</v>
      </c>
      <c r="U199" s="236">
        <v>350</v>
      </c>
      <c r="V199" s="238" t="s">
        <v>1280</v>
      </c>
      <c r="W199" s="143" t="s">
        <v>1281</v>
      </c>
      <c r="X199" s="143" t="s">
        <v>1217</v>
      </c>
      <c r="Y199" s="143"/>
      <c r="Z199" s="143"/>
    </row>
    <row r="200" spans="1:26" s="143" customFormat="1" ht="13.2">
      <c r="A200" s="143" t="s">
        <v>1396</v>
      </c>
      <c r="B200" s="143" t="s">
        <v>1395</v>
      </c>
      <c r="C200" s="144">
        <v>42042</v>
      </c>
      <c r="D200" s="144">
        <v>42049</v>
      </c>
      <c r="E200" s="143" t="s">
        <v>1397</v>
      </c>
      <c r="G200" s="145">
        <v>72100</v>
      </c>
      <c r="H200" s="143" t="s">
        <v>1398</v>
      </c>
      <c r="I200" s="143" t="s">
        <v>23</v>
      </c>
      <c r="J200" s="143" t="s">
        <v>19</v>
      </c>
      <c r="K200" s="143" t="s">
        <v>1399</v>
      </c>
      <c r="L200" s="143" t="s">
        <v>1400</v>
      </c>
      <c r="N200" s="253" t="s">
        <v>1402</v>
      </c>
      <c r="O200" s="148">
        <f>690+70</f>
        <v>760</v>
      </c>
      <c r="Q200" s="143" t="s">
        <v>1401</v>
      </c>
      <c r="R200" s="145">
        <v>1</v>
      </c>
      <c r="S200" s="145">
        <v>4</v>
      </c>
      <c r="T200" s="145">
        <v>0</v>
      </c>
      <c r="U200" s="236">
        <v>175</v>
      </c>
      <c r="V200" s="238">
        <v>42032</v>
      </c>
      <c r="W200" s="143" t="s">
        <v>1281</v>
      </c>
      <c r="X200" s="143" t="s">
        <v>1154</v>
      </c>
    </row>
    <row r="201" spans="1:26" s="143" customFormat="1" ht="13.2">
      <c r="A201" s="143" t="s">
        <v>1391</v>
      </c>
      <c r="B201" s="143" t="s">
        <v>1392</v>
      </c>
      <c r="C201" s="144">
        <v>42063</v>
      </c>
      <c r="D201" s="144">
        <v>42070</v>
      </c>
      <c r="G201" s="145"/>
      <c r="I201" s="143" t="s">
        <v>23</v>
      </c>
      <c r="J201" s="143" t="s">
        <v>19</v>
      </c>
      <c r="K201" s="143" t="s">
        <v>1393</v>
      </c>
      <c r="N201" s="253" t="s">
        <v>1394</v>
      </c>
      <c r="O201" s="148">
        <v>600</v>
      </c>
      <c r="Q201" s="143">
        <v>0</v>
      </c>
      <c r="R201" s="145">
        <v>1</v>
      </c>
      <c r="S201" s="145">
        <v>4</v>
      </c>
      <c r="T201" s="145">
        <v>0</v>
      </c>
      <c r="U201" s="236">
        <v>150</v>
      </c>
      <c r="V201" s="238">
        <v>42024</v>
      </c>
      <c r="W201" s="143" t="s">
        <v>1281</v>
      </c>
      <c r="X201" s="143" t="s">
        <v>1217</v>
      </c>
    </row>
    <row r="202" spans="1:26" s="143" customFormat="1" ht="13.2">
      <c r="A202" s="143" t="s">
        <v>1340</v>
      </c>
      <c r="B202" s="143" t="s">
        <v>1341</v>
      </c>
      <c r="C202" s="144">
        <v>42119</v>
      </c>
      <c r="D202" s="144">
        <v>42126</v>
      </c>
      <c r="E202" s="143" t="s">
        <v>1370</v>
      </c>
      <c r="G202" s="145">
        <v>80560</v>
      </c>
      <c r="H202" s="143" t="s">
        <v>1371</v>
      </c>
      <c r="I202" s="143" t="s">
        <v>23</v>
      </c>
      <c r="J202" s="143" t="s">
        <v>19</v>
      </c>
      <c r="K202" s="143" t="s">
        <v>1373</v>
      </c>
      <c r="L202" s="143" t="s">
        <v>1372</v>
      </c>
      <c r="N202" s="253" t="s">
        <v>1342</v>
      </c>
      <c r="O202" s="148">
        <v>790</v>
      </c>
      <c r="Q202" s="143" t="s">
        <v>1343</v>
      </c>
      <c r="R202" s="145">
        <v>1</v>
      </c>
      <c r="S202" s="145" t="s">
        <v>1374</v>
      </c>
      <c r="T202" s="145">
        <v>0</v>
      </c>
      <c r="U202" s="236">
        <v>197.5</v>
      </c>
      <c r="V202" s="238">
        <v>42333</v>
      </c>
      <c r="W202" s="143" t="s">
        <v>1281</v>
      </c>
      <c r="X202" s="143" t="s">
        <v>1154</v>
      </c>
    </row>
    <row r="203" spans="1:26" s="143" customFormat="1" ht="13.2">
      <c r="A203" s="143" t="s">
        <v>1403</v>
      </c>
      <c r="B203" s="143" t="s">
        <v>1404</v>
      </c>
      <c r="C203" s="144">
        <v>42126</v>
      </c>
      <c r="D203" s="144">
        <v>42133</v>
      </c>
      <c r="E203" s="143" t="s">
        <v>1405</v>
      </c>
      <c r="G203" s="145">
        <v>59740</v>
      </c>
      <c r="H203" s="143" t="s">
        <v>1406</v>
      </c>
      <c r="I203" s="143" t="s">
        <v>23</v>
      </c>
      <c r="J203" s="143" t="s">
        <v>19</v>
      </c>
      <c r="K203" s="143" t="s">
        <v>1407</v>
      </c>
      <c r="L203" s="143" t="s">
        <v>1408</v>
      </c>
      <c r="N203" s="253" t="s">
        <v>1409</v>
      </c>
      <c r="O203" s="148">
        <v>790</v>
      </c>
      <c r="R203" s="145">
        <v>1</v>
      </c>
      <c r="S203" s="145" t="s">
        <v>1411</v>
      </c>
      <c r="T203" s="145"/>
      <c r="U203" s="236">
        <v>198</v>
      </c>
      <c r="V203" s="238">
        <v>42043</v>
      </c>
      <c r="X203" s="143" t="s">
        <v>1154</v>
      </c>
    </row>
    <row r="204" spans="1:26" s="143" customFormat="1" ht="13.2">
      <c r="A204" s="282" t="s">
        <v>1485</v>
      </c>
      <c r="B204" s="282"/>
      <c r="C204" s="283">
        <v>42364</v>
      </c>
      <c r="D204" s="283">
        <v>42372</v>
      </c>
      <c r="E204" s="282" t="s">
        <v>1490</v>
      </c>
      <c r="F204" s="282"/>
      <c r="G204" s="284">
        <v>29233</v>
      </c>
      <c r="H204" s="282" t="s">
        <v>1486</v>
      </c>
      <c r="I204" s="282" t="s">
        <v>23</v>
      </c>
      <c r="J204" s="282" t="s">
        <v>19</v>
      </c>
      <c r="K204" s="282" t="s">
        <v>1487</v>
      </c>
      <c r="L204" s="282"/>
      <c r="M204" s="282"/>
      <c r="N204" s="285" t="s">
        <v>1488</v>
      </c>
      <c r="O204" s="286">
        <v>1000</v>
      </c>
      <c r="P204" s="282"/>
      <c r="Q204" s="282"/>
      <c r="R204" s="284">
        <v>1</v>
      </c>
      <c r="S204" s="284">
        <v>2</v>
      </c>
      <c r="T204" s="284">
        <v>0</v>
      </c>
      <c r="U204" s="287">
        <v>250</v>
      </c>
      <c r="V204" s="288" t="s">
        <v>1489</v>
      </c>
      <c r="W204" s="282"/>
      <c r="X204" s="282" t="s">
        <v>1217</v>
      </c>
      <c r="Y204" s="282"/>
      <c r="Z204" s="282"/>
    </row>
    <row r="205" spans="1:26" s="143" customFormat="1" ht="13.2">
      <c r="A205" s="143" t="s">
        <v>1538</v>
      </c>
      <c r="B205" s="143" t="s">
        <v>1539</v>
      </c>
      <c r="C205" s="144">
        <v>42427</v>
      </c>
      <c r="D205" s="144">
        <v>42434</v>
      </c>
      <c r="E205" s="143" t="s">
        <v>1535</v>
      </c>
      <c r="G205" s="145">
        <v>75019</v>
      </c>
      <c r="H205" s="143" t="s">
        <v>1540</v>
      </c>
      <c r="I205" s="143" t="s">
        <v>983</v>
      </c>
      <c r="J205" s="143" t="s">
        <v>19</v>
      </c>
      <c r="K205" s="143" t="s">
        <v>1537</v>
      </c>
      <c r="L205" s="143" t="s">
        <v>1536</v>
      </c>
      <c r="N205" s="253" t="s">
        <v>1541</v>
      </c>
      <c r="O205" s="148">
        <f>690+70</f>
        <v>760</v>
      </c>
      <c r="Q205" s="143" t="s">
        <v>1542</v>
      </c>
      <c r="R205" s="145">
        <v>1</v>
      </c>
      <c r="S205" s="145">
        <v>5</v>
      </c>
      <c r="T205" s="145">
        <v>0</v>
      </c>
      <c r="U205" s="236">
        <v>0</v>
      </c>
      <c r="V205" s="238"/>
      <c r="W205" s="143" t="s">
        <v>1543</v>
      </c>
    </row>
    <row r="206" spans="1:26" s="143" customFormat="1" ht="13.2">
      <c r="A206" s="291" t="s">
        <v>1526</v>
      </c>
      <c r="B206" s="291" t="s">
        <v>1527</v>
      </c>
      <c r="C206" s="292">
        <v>42476</v>
      </c>
      <c r="D206" s="292">
        <v>42483</v>
      </c>
      <c r="E206" s="291" t="s">
        <v>1528</v>
      </c>
      <c r="F206" s="291"/>
      <c r="G206" s="293">
        <v>89210</v>
      </c>
      <c r="H206" s="291" t="s">
        <v>1529</v>
      </c>
      <c r="I206" s="291" t="s">
        <v>23</v>
      </c>
      <c r="J206" s="291" t="s">
        <v>19</v>
      </c>
      <c r="K206" s="291" t="s">
        <v>1530</v>
      </c>
      <c r="L206" s="291" t="s">
        <v>1531</v>
      </c>
      <c r="M206" s="291"/>
      <c r="N206" s="299" t="s">
        <v>1532</v>
      </c>
      <c r="O206" s="295">
        <f>790+21</f>
        <v>811</v>
      </c>
      <c r="P206" s="291"/>
      <c r="Q206" s="291" t="s">
        <v>1401</v>
      </c>
      <c r="R206" s="293">
        <v>1</v>
      </c>
      <c r="S206" s="293" t="s">
        <v>1533</v>
      </c>
      <c r="T206" s="293">
        <v>1</v>
      </c>
      <c r="U206" s="296">
        <v>197.5</v>
      </c>
      <c r="V206" s="298"/>
      <c r="W206" s="291" t="s">
        <v>1281</v>
      </c>
      <c r="X206" s="291"/>
      <c r="Y206" s="291"/>
      <c r="Z206" s="291"/>
    </row>
    <row r="207" spans="1:26" s="143" customFormat="1" ht="13.2">
      <c r="A207" s="291" t="s">
        <v>1567</v>
      </c>
      <c r="B207" s="291" t="s">
        <v>1568</v>
      </c>
      <c r="C207" s="292">
        <v>42588</v>
      </c>
      <c r="D207" s="292">
        <v>42595</v>
      </c>
      <c r="E207" s="291" t="s">
        <v>1569</v>
      </c>
      <c r="F207" s="291"/>
      <c r="G207" s="293">
        <v>57310</v>
      </c>
      <c r="H207" s="291" t="s">
        <v>1570</v>
      </c>
      <c r="I207" s="291" t="s">
        <v>23</v>
      </c>
      <c r="J207" s="291" t="s">
        <v>19</v>
      </c>
      <c r="K207" s="291" t="s">
        <v>1571</v>
      </c>
      <c r="L207" s="291"/>
      <c r="M207" s="291"/>
      <c r="N207" s="294" t="s">
        <v>1572</v>
      </c>
      <c r="O207" s="295">
        <v>1990</v>
      </c>
      <c r="P207" s="291"/>
      <c r="Q207" s="291" t="s">
        <v>1573</v>
      </c>
      <c r="R207" s="293">
        <v>1</v>
      </c>
      <c r="S207" s="293">
        <v>5</v>
      </c>
      <c r="T207" s="293"/>
      <c r="U207" s="296">
        <v>500</v>
      </c>
      <c r="V207" s="298">
        <v>42470</v>
      </c>
      <c r="W207" s="291" t="s">
        <v>1281</v>
      </c>
      <c r="X207" s="291" t="s">
        <v>1154</v>
      </c>
      <c r="Y207" s="291"/>
      <c r="Z207" s="291"/>
    </row>
    <row r="208" spans="1:26" s="143" customFormat="1">
      <c r="A208" s="291" t="s">
        <v>486</v>
      </c>
      <c r="B208" s="291" t="s">
        <v>1620</v>
      </c>
      <c r="C208" s="292">
        <v>42658</v>
      </c>
      <c r="D208" s="292">
        <v>42665</v>
      </c>
      <c r="E208" s="291" t="s">
        <v>488</v>
      </c>
      <c r="F208" s="291"/>
      <c r="G208" s="293">
        <v>95130</v>
      </c>
      <c r="H208" s="291" t="s">
        <v>489</v>
      </c>
      <c r="I208" s="291" t="s">
        <v>23</v>
      </c>
      <c r="J208" s="291" t="s">
        <v>19</v>
      </c>
      <c r="K208" s="291" t="s">
        <v>490</v>
      </c>
      <c r="L208" s="291" t="s">
        <v>491</v>
      </c>
      <c r="M208" s="291"/>
      <c r="N208" s="324" t="s">
        <v>492</v>
      </c>
      <c r="O208" s="295">
        <v>690</v>
      </c>
      <c r="P208" s="291"/>
      <c r="Q208" s="291"/>
      <c r="R208" s="293">
        <v>1</v>
      </c>
      <c r="S208" s="293">
        <v>4</v>
      </c>
      <c r="T208" s="293">
        <v>0</v>
      </c>
      <c r="U208" s="296">
        <f>O208/4</f>
        <v>172.5</v>
      </c>
      <c r="V208" s="291"/>
      <c r="W208" s="291"/>
      <c r="X208" s="291"/>
      <c r="Y208" s="291"/>
      <c r="Z208" s="291"/>
    </row>
    <row r="209" spans="1:26" s="143" customFormat="1" ht="13.2">
      <c r="A209" s="325" t="s">
        <v>1624</v>
      </c>
      <c r="B209" s="325" t="s">
        <v>1625</v>
      </c>
      <c r="C209" s="326">
        <v>42727</v>
      </c>
      <c r="D209" s="326">
        <v>42734</v>
      </c>
      <c r="E209" s="325" t="s">
        <v>1626</v>
      </c>
      <c r="F209" s="325"/>
      <c r="G209" s="327">
        <v>49220</v>
      </c>
      <c r="H209" s="325" t="s">
        <v>1627</v>
      </c>
      <c r="I209" s="325" t="s">
        <v>23</v>
      </c>
      <c r="J209" s="325" t="s">
        <v>19</v>
      </c>
      <c r="K209" s="325"/>
      <c r="L209" s="325" t="s">
        <v>1628</v>
      </c>
      <c r="M209" s="325"/>
      <c r="N209" s="328" t="s">
        <v>1629</v>
      </c>
      <c r="O209" s="329">
        <v>272.5</v>
      </c>
      <c r="P209" s="325"/>
      <c r="Q209" s="325" t="s">
        <v>1025</v>
      </c>
      <c r="R209" s="327">
        <v>0</v>
      </c>
      <c r="S209" s="327" t="s">
        <v>199</v>
      </c>
      <c r="T209" s="327">
        <v>1</v>
      </c>
      <c r="U209" s="330">
        <f>1090/4</f>
        <v>272.5</v>
      </c>
      <c r="V209" s="331"/>
      <c r="W209" s="325"/>
      <c r="X209" s="325"/>
      <c r="Y209" s="325"/>
      <c r="Z209" s="325"/>
    </row>
    <row r="210" spans="1:26" s="143" customFormat="1" ht="13.2">
      <c r="A210" s="291" t="s">
        <v>1687</v>
      </c>
      <c r="B210" s="291" t="s">
        <v>304</v>
      </c>
      <c r="C210" s="292">
        <v>42806</v>
      </c>
      <c r="D210" s="292">
        <v>42819</v>
      </c>
      <c r="E210" s="291" t="s">
        <v>1681</v>
      </c>
      <c r="F210" s="291"/>
      <c r="G210" s="293">
        <v>95230</v>
      </c>
      <c r="H210" s="291" t="s">
        <v>1682</v>
      </c>
      <c r="I210" s="291" t="s">
        <v>23</v>
      </c>
      <c r="J210" s="291" t="s">
        <v>19</v>
      </c>
      <c r="K210" s="291"/>
      <c r="L210" s="291" t="s">
        <v>1683</v>
      </c>
      <c r="M210" s="291"/>
      <c r="N210" s="294" t="s">
        <v>1684</v>
      </c>
      <c r="O210" s="295">
        <f>690*2+42+70</f>
        <v>1492</v>
      </c>
      <c r="P210" s="291"/>
      <c r="Q210" s="291" t="s">
        <v>1685</v>
      </c>
      <c r="R210" s="293">
        <v>2</v>
      </c>
      <c r="S210" s="293">
        <v>2</v>
      </c>
      <c r="T210" s="293">
        <v>1</v>
      </c>
      <c r="U210" s="296">
        <v>355.5</v>
      </c>
      <c r="V210" s="298">
        <v>42778</v>
      </c>
      <c r="W210" s="291" t="s">
        <v>1686</v>
      </c>
      <c r="X210" s="291"/>
      <c r="Y210" s="291"/>
      <c r="Z210" s="291"/>
    </row>
    <row r="211" spans="1:26" s="143" customFormat="1" ht="13.2">
      <c r="A211" s="291" t="s">
        <v>1722</v>
      </c>
      <c r="B211" s="291" t="s">
        <v>1723</v>
      </c>
      <c r="C211" s="292">
        <v>42966</v>
      </c>
      <c r="D211" s="292">
        <v>42973</v>
      </c>
      <c r="E211" s="291" t="s">
        <v>1724</v>
      </c>
      <c r="F211" s="291"/>
      <c r="G211" s="293">
        <v>27220</v>
      </c>
      <c r="H211" s="291" t="s">
        <v>1725</v>
      </c>
      <c r="I211" s="291" t="s">
        <v>23</v>
      </c>
      <c r="J211" s="291" t="s">
        <v>19</v>
      </c>
      <c r="K211" s="291"/>
      <c r="L211" s="291" t="s">
        <v>1726</v>
      </c>
      <c r="M211" s="291"/>
      <c r="N211" s="294" t="s">
        <v>1727</v>
      </c>
      <c r="O211" s="295">
        <v>1790</v>
      </c>
      <c r="P211" s="291"/>
      <c r="Q211" s="291" t="s">
        <v>1728</v>
      </c>
      <c r="R211" s="293">
        <v>1</v>
      </c>
      <c r="S211" s="293">
        <v>4</v>
      </c>
      <c r="T211" s="293">
        <v>1</v>
      </c>
      <c r="U211" s="296">
        <v>447.5</v>
      </c>
      <c r="V211" s="298"/>
      <c r="W211" s="291"/>
      <c r="X211" s="291"/>
      <c r="Y211" s="291"/>
      <c r="Z211" s="291"/>
    </row>
    <row r="212" spans="1:26" s="143" customFormat="1" ht="13.2">
      <c r="A212" s="372" t="s">
        <v>1391</v>
      </c>
      <c r="B212" s="372" t="s">
        <v>1392</v>
      </c>
      <c r="C212" s="373">
        <v>43157</v>
      </c>
      <c r="D212" s="373">
        <v>43161</v>
      </c>
      <c r="E212" s="372"/>
      <c r="F212" s="372"/>
      <c r="G212" s="374"/>
      <c r="H212" s="372"/>
      <c r="I212" s="372" t="s">
        <v>23</v>
      </c>
      <c r="J212" s="372" t="s">
        <v>19</v>
      </c>
      <c r="K212" s="372" t="s">
        <v>1393</v>
      </c>
      <c r="L212" s="372"/>
      <c r="M212" s="372"/>
      <c r="N212" s="375" t="s">
        <v>1394</v>
      </c>
      <c r="O212" s="376">
        <v>600</v>
      </c>
      <c r="P212" s="372"/>
      <c r="Q212" s="355" t="s">
        <v>1910</v>
      </c>
      <c r="R212" s="374">
        <v>1</v>
      </c>
      <c r="S212" s="374">
        <v>3</v>
      </c>
      <c r="T212" s="374">
        <v>0</v>
      </c>
      <c r="U212" s="377">
        <v>0</v>
      </c>
      <c r="V212" s="378">
        <v>42024</v>
      </c>
      <c r="W212" s="372" t="s">
        <v>1281</v>
      </c>
      <c r="X212" s="372" t="s">
        <v>1217</v>
      </c>
      <c r="Y212" s="372"/>
      <c r="Z212" s="372"/>
    </row>
    <row r="213" spans="1:26" s="143" customFormat="1">
      <c r="A213" s="355" t="s">
        <v>486</v>
      </c>
      <c r="B213" s="355" t="s">
        <v>1620</v>
      </c>
      <c r="C213" s="357">
        <v>43204</v>
      </c>
      <c r="D213" s="357">
        <v>43211</v>
      </c>
      <c r="E213" s="355" t="s">
        <v>488</v>
      </c>
      <c r="F213" s="355"/>
      <c r="G213" s="358">
        <v>95130</v>
      </c>
      <c r="H213" s="355" t="s">
        <v>489</v>
      </c>
      <c r="I213" s="355" t="s">
        <v>23</v>
      </c>
      <c r="J213" s="355" t="s">
        <v>19</v>
      </c>
      <c r="K213" s="355" t="s">
        <v>490</v>
      </c>
      <c r="L213" s="355" t="s">
        <v>491</v>
      </c>
      <c r="M213" s="355"/>
      <c r="N213" s="365" t="s">
        <v>492</v>
      </c>
      <c r="O213" s="359">
        <v>790</v>
      </c>
      <c r="P213" s="355"/>
      <c r="Q213" s="355"/>
      <c r="R213" s="358">
        <v>1</v>
      </c>
      <c r="S213" s="358" t="s">
        <v>1809</v>
      </c>
      <c r="T213" s="358">
        <v>0</v>
      </c>
      <c r="U213" s="356" t="s">
        <v>1832</v>
      </c>
      <c r="V213" s="355">
        <v>43033</v>
      </c>
      <c r="W213" s="355" t="s">
        <v>1519</v>
      </c>
      <c r="X213" s="355" t="s">
        <v>1154</v>
      </c>
      <c r="Y213" s="355"/>
      <c r="Z213" s="355"/>
    </row>
    <row r="214" spans="1:26" s="143" customFormat="1">
      <c r="A214" s="355" t="s">
        <v>486</v>
      </c>
      <c r="B214" s="355" t="s">
        <v>1620</v>
      </c>
      <c r="C214" s="357">
        <v>43407</v>
      </c>
      <c r="D214" s="357">
        <v>43414</v>
      </c>
      <c r="E214" s="355" t="s">
        <v>488</v>
      </c>
      <c r="F214" s="355"/>
      <c r="G214" s="358">
        <v>95130</v>
      </c>
      <c r="H214" s="355" t="s">
        <v>489</v>
      </c>
      <c r="I214" s="355" t="s">
        <v>23</v>
      </c>
      <c r="J214" s="355" t="s">
        <v>19</v>
      </c>
      <c r="K214" s="355" t="s">
        <v>490</v>
      </c>
      <c r="L214" s="355" t="s">
        <v>491</v>
      </c>
      <c r="M214" s="355"/>
      <c r="N214" s="365" t="s">
        <v>492</v>
      </c>
      <c r="O214" s="359">
        <v>690</v>
      </c>
      <c r="P214" s="355"/>
      <c r="Q214" s="355"/>
      <c r="R214" s="358">
        <v>1</v>
      </c>
      <c r="S214" s="358" t="s">
        <v>1809</v>
      </c>
      <c r="T214" s="358">
        <v>0</v>
      </c>
      <c r="U214" s="356" t="s">
        <v>1832</v>
      </c>
      <c r="V214" s="355">
        <v>43033</v>
      </c>
      <c r="W214" s="355" t="s">
        <v>1519</v>
      </c>
      <c r="X214" s="355" t="s">
        <v>1154</v>
      </c>
      <c r="Y214" s="355"/>
      <c r="Z214" s="355"/>
    </row>
    <row r="215" spans="1:26" s="143" customFormat="1">
      <c r="A215" s="355" t="s">
        <v>486</v>
      </c>
      <c r="B215" s="355" t="s">
        <v>1620</v>
      </c>
      <c r="C215" s="357">
        <v>43764</v>
      </c>
      <c r="D215" s="357">
        <v>43771</v>
      </c>
      <c r="E215" s="355" t="s">
        <v>488</v>
      </c>
      <c r="F215" s="355"/>
      <c r="G215" s="358">
        <v>95130</v>
      </c>
      <c r="H215" s="355" t="s">
        <v>489</v>
      </c>
      <c r="I215" s="355" t="s">
        <v>23</v>
      </c>
      <c r="J215" s="355" t="s">
        <v>19</v>
      </c>
      <c r="K215" s="355" t="s">
        <v>490</v>
      </c>
      <c r="L215" s="355" t="s">
        <v>491</v>
      </c>
      <c r="M215" s="355"/>
      <c r="N215" s="365" t="s">
        <v>492</v>
      </c>
      <c r="O215" s="359">
        <v>690</v>
      </c>
      <c r="P215" s="355"/>
      <c r="Q215" s="355" t="s">
        <v>2345</v>
      </c>
      <c r="R215" s="358">
        <v>1</v>
      </c>
      <c r="S215" s="358" t="s">
        <v>1809</v>
      </c>
      <c r="T215" s="358">
        <v>0</v>
      </c>
      <c r="U215" s="356" t="s">
        <v>1832</v>
      </c>
      <c r="V215" s="355">
        <v>43033</v>
      </c>
      <c r="W215" s="355" t="s">
        <v>1519</v>
      </c>
      <c r="X215" s="355" t="s">
        <v>1154</v>
      </c>
      <c r="Y215" s="355"/>
      <c r="Z215" s="355"/>
    </row>
    <row r="216" spans="1:26" s="271" customFormat="1">
      <c r="A216" s="139" t="s">
        <v>260</v>
      </c>
      <c r="B216" s="139" t="s">
        <v>24</v>
      </c>
      <c r="C216" s="349">
        <v>38388</v>
      </c>
      <c r="D216" s="349">
        <v>38395</v>
      </c>
      <c r="E216" s="139" t="s">
        <v>314</v>
      </c>
      <c r="F216" s="139"/>
      <c r="G216" s="140">
        <v>59320</v>
      </c>
      <c r="H216" s="139" t="s">
        <v>315</v>
      </c>
      <c r="I216" s="139" t="s">
        <v>23</v>
      </c>
      <c r="J216" s="139" t="s">
        <v>19</v>
      </c>
      <c r="K216" s="139" t="s">
        <v>316</v>
      </c>
      <c r="L216" s="139"/>
      <c r="M216" s="139"/>
      <c r="N216" s="156" t="s">
        <v>261</v>
      </c>
      <c r="O216" s="351">
        <v>520</v>
      </c>
      <c r="P216" s="139"/>
      <c r="Q216" s="139"/>
      <c r="R216" s="140">
        <v>1</v>
      </c>
      <c r="S216" s="140" t="s">
        <v>317</v>
      </c>
      <c r="T216" s="140"/>
      <c r="U216" s="185" t="s">
        <v>232</v>
      </c>
      <c r="V216" s="139"/>
      <c r="W216" s="139"/>
      <c r="X216" s="139"/>
      <c r="Y216" s="139"/>
      <c r="Z216" s="139"/>
    </row>
    <row r="217" spans="1:26" s="143" customFormat="1">
      <c r="A217" s="139" t="s">
        <v>265</v>
      </c>
      <c r="B217" s="139" t="s">
        <v>266</v>
      </c>
      <c r="C217" s="349">
        <v>38395</v>
      </c>
      <c r="D217" s="349">
        <v>38402</v>
      </c>
      <c r="E217" s="139" t="s">
        <v>318</v>
      </c>
      <c r="F217" s="139"/>
      <c r="G217" s="140">
        <v>60112</v>
      </c>
      <c r="H217" s="139" t="s">
        <v>319</v>
      </c>
      <c r="I217" s="139" t="s">
        <v>23</v>
      </c>
      <c r="J217" s="139" t="s">
        <v>19</v>
      </c>
      <c r="K217" s="139">
        <v>344067096</v>
      </c>
      <c r="L217" s="139"/>
      <c r="M217" s="139"/>
      <c r="N217" s="156" t="s">
        <v>267</v>
      </c>
      <c r="O217" s="351">
        <v>520</v>
      </c>
      <c r="P217" s="139"/>
      <c r="Q217" s="139"/>
      <c r="R217" s="140">
        <v>1</v>
      </c>
      <c r="S217" s="140">
        <v>6</v>
      </c>
      <c r="T217" s="140"/>
      <c r="U217" s="185" t="s">
        <v>232</v>
      </c>
      <c r="V217" s="139"/>
      <c r="W217" s="139"/>
      <c r="X217" s="139"/>
      <c r="Y217" s="139"/>
      <c r="Z217" s="139"/>
    </row>
    <row r="218" spans="1:26" ht="12" customHeight="1" thickBot="1">
      <c r="A218" s="139" t="s">
        <v>276</v>
      </c>
      <c r="B218" s="139" t="s">
        <v>280</v>
      </c>
      <c r="C218" s="352">
        <v>38451</v>
      </c>
      <c r="D218" s="352">
        <v>38458</v>
      </c>
      <c r="E218" s="139" t="s">
        <v>324</v>
      </c>
      <c r="G218" s="140">
        <v>77500</v>
      </c>
      <c r="H218" s="139" t="s">
        <v>325</v>
      </c>
      <c r="I218" s="139" t="s">
        <v>23</v>
      </c>
      <c r="J218" s="139" t="s">
        <v>19</v>
      </c>
      <c r="K218" s="139" t="s">
        <v>281</v>
      </c>
      <c r="N218" s="156" t="s">
        <v>282</v>
      </c>
      <c r="O218" s="157">
        <v>520</v>
      </c>
      <c r="R218" s="140">
        <v>1</v>
      </c>
      <c r="S218" s="140">
        <v>6</v>
      </c>
      <c r="U218" s="185" t="s">
        <v>232</v>
      </c>
    </row>
    <row r="219" spans="1:26" ht="10.8" hidden="1" thickBot="1">
      <c r="N219" s="156"/>
      <c r="O219" s="157"/>
      <c r="U219" s="258"/>
      <c r="V219" s="261"/>
    </row>
    <row r="220" spans="1:26" ht="10.8" hidden="1" thickBot="1">
      <c r="N220" s="156"/>
      <c r="O220" s="157"/>
      <c r="U220" s="258"/>
      <c r="V220" s="261"/>
    </row>
    <row r="221" spans="1:26" ht="10.8" hidden="1" thickBot="1">
      <c r="N221" s="156"/>
      <c r="O221" s="157"/>
      <c r="U221" s="258"/>
      <c r="V221" s="261"/>
    </row>
    <row r="222" spans="1:26" ht="10.8" hidden="1" thickBot="1">
      <c r="N222" s="156"/>
      <c r="O222" s="157"/>
      <c r="U222" s="258"/>
      <c r="V222" s="263"/>
    </row>
    <row r="223" spans="1:26" ht="10.8" hidden="1" thickBot="1">
      <c r="N223" s="156"/>
      <c r="O223" s="157"/>
      <c r="U223" s="258"/>
      <c r="V223" s="261"/>
    </row>
    <row r="224" spans="1:26" ht="10.8" hidden="1" thickBot="1">
      <c r="A224" s="153"/>
      <c r="N224" s="156"/>
      <c r="O224" s="157"/>
      <c r="U224" s="158"/>
    </row>
    <row r="225" spans="1:22" ht="13.8" hidden="1" thickBot="1">
      <c r="H225" s="257"/>
      <c r="N225" s="156"/>
      <c r="O225" s="157"/>
      <c r="U225" s="258"/>
    </row>
    <row r="226" spans="1:22" ht="13.8" hidden="1" thickBot="1">
      <c r="A226" s="259"/>
      <c r="H226" s="194"/>
      <c r="N226" s="156"/>
      <c r="O226" s="157"/>
      <c r="U226" s="260"/>
      <c r="V226" s="261"/>
    </row>
    <row r="227" spans="1:22" ht="14.4" hidden="1" thickBot="1">
      <c r="A227" s="259"/>
      <c r="E227" s="262"/>
      <c r="N227" s="156"/>
      <c r="O227" s="157"/>
      <c r="U227" s="260"/>
      <c r="V227" s="263"/>
    </row>
    <row r="228" spans="1:22" ht="14.4" hidden="1" thickBot="1">
      <c r="A228" s="259"/>
      <c r="E228" s="262"/>
      <c r="N228" s="156"/>
      <c r="O228" s="157"/>
      <c r="U228" s="258"/>
      <c r="V228" s="263"/>
    </row>
    <row r="229" spans="1:22" ht="14.4" hidden="1" thickBot="1">
      <c r="A229" s="264"/>
      <c r="E229" s="262"/>
      <c r="N229" s="156"/>
      <c r="O229" s="157"/>
      <c r="U229" s="260"/>
      <c r="V229" s="263"/>
    </row>
    <row r="230" spans="1:22" ht="13.8" hidden="1" thickBot="1">
      <c r="A230" s="264"/>
      <c r="L230" s="265"/>
      <c r="N230" s="156"/>
      <c r="O230" s="157"/>
      <c r="U230" s="266"/>
      <c r="V230" s="263"/>
    </row>
    <row r="231" spans="1:22" ht="10.8" hidden="1" thickBot="1">
      <c r="A231" s="153"/>
      <c r="L231" s="265"/>
      <c r="N231" s="156"/>
      <c r="O231" s="157"/>
      <c r="U231" s="266"/>
      <c r="V231" s="263"/>
    </row>
    <row r="232" spans="1:22" ht="13.8" hidden="1" thickBot="1">
      <c r="E232" s="194"/>
      <c r="N232" s="267"/>
      <c r="O232" s="157"/>
      <c r="U232" s="268"/>
    </row>
    <row r="233" spans="1:22" ht="14.4" hidden="1" thickBot="1">
      <c r="E233" s="262"/>
      <c r="L233" s="269">
        <f>O221-U221</f>
        <v>0</v>
      </c>
      <c r="N233" s="267"/>
      <c r="O233" s="157"/>
      <c r="S233" s="140">
        <f>O223-U223</f>
        <v>0</v>
      </c>
      <c r="U233" s="260"/>
    </row>
    <row r="234" spans="1:22" ht="13.8" hidden="1" thickBot="1">
      <c r="E234" s="194"/>
      <c r="N234" s="156"/>
      <c r="O234" s="157"/>
      <c r="U234" s="260"/>
    </row>
    <row r="235" spans="1:22" ht="14.4" hidden="1" thickBot="1">
      <c r="E235" s="262"/>
      <c r="N235" s="156"/>
      <c r="O235" s="157"/>
      <c r="U235" s="278"/>
    </row>
    <row r="236" spans="1:22" ht="10.8" hidden="1" thickBot="1">
      <c r="N236" s="156"/>
      <c r="O236" s="157"/>
      <c r="U236" s="260"/>
    </row>
    <row r="237" spans="1:22" ht="10.8" hidden="1" thickBot="1">
      <c r="N237" s="156"/>
      <c r="O237" s="157"/>
      <c r="U237" s="260"/>
    </row>
    <row r="238" spans="1:22" ht="10.8" hidden="1" thickBot="1">
      <c r="N238" s="156"/>
      <c r="O238" s="157"/>
      <c r="U238" s="260"/>
    </row>
    <row r="239" spans="1:22" ht="13.8" hidden="1" thickBot="1">
      <c r="A239" s="136"/>
      <c r="B239" s="136"/>
      <c r="C239" s="137"/>
      <c r="D239" s="137"/>
      <c r="E239" s="194"/>
      <c r="F239" s="136"/>
      <c r="G239" s="138"/>
      <c r="H239" s="136"/>
      <c r="I239" s="136"/>
      <c r="J239" s="136"/>
      <c r="K239" s="136"/>
      <c r="L239" s="136"/>
      <c r="M239" s="136"/>
      <c r="N239" s="136"/>
      <c r="O239" s="136"/>
      <c r="P239" s="136"/>
      <c r="S239" s="138"/>
      <c r="T239" s="138"/>
      <c r="U239" s="235"/>
    </row>
    <row r="240" spans="1:22" ht="10.8" hidden="1" thickBot="1">
      <c r="A240" s="136"/>
      <c r="B240" s="161"/>
      <c r="C240" s="137"/>
      <c r="D240" s="137"/>
      <c r="F240" s="136"/>
      <c r="G240" s="138"/>
      <c r="H240" s="136"/>
      <c r="I240" s="136"/>
      <c r="J240" s="136"/>
      <c r="K240" s="136"/>
      <c r="L240" s="136"/>
      <c r="M240" s="136"/>
      <c r="N240" s="136"/>
      <c r="O240" s="161"/>
      <c r="P240" s="136"/>
      <c r="S240" s="138"/>
      <c r="T240" s="138"/>
      <c r="U240" s="235"/>
      <c r="V240" s="213"/>
    </row>
    <row r="241" spans="1:26" ht="10.8" thickBot="1">
      <c r="A241" s="514" t="s">
        <v>272</v>
      </c>
      <c r="B241" s="183" t="s">
        <v>273</v>
      </c>
      <c r="C241" s="352">
        <v>38458</v>
      </c>
      <c r="D241" s="656">
        <v>38465</v>
      </c>
      <c r="E241" s="183" t="s">
        <v>326</v>
      </c>
      <c r="G241" s="140">
        <v>25250</v>
      </c>
      <c r="H241" s="139" t="s">
        <v>327</v>
      </c>
      <c r="I241" s="139" t="s">
        <v>23</v>
      </c>
      <c r="J241" s="139" t="s">
        <v>19</v>
      </c>
      <c r="K241" s="139" t="s">
        <v>274</v>
      </c>
      <c r="N241" s="156" t="s">
        <v>275</v>
      </c>
      <c r="O241" s="157">
        <v>520</v>
      </c>
      <c r="R241" s="140">
        <v>1</v>
      </c>
      <c r="S241" s="140">
        <v>8</v>
      </c>
      <c r="U241" s="139" t="s">
        <v>232</v>
      </c>
    </row>
    <row r="242" spans="1:26" ht="10.8" thickBot="1">
      <c r="A242" s="279" t="s">
        <v>228</v>
      </c>
      <c r="B242" s="190" t="s">
        <v>201</v>
      </c>
      <c r="C242" s="735">
        <v>38465</v>
      </c>
      <c r="D242" s="741">
        <v>38479</v>
      </c>
      <c r="E242" s="185" t="s">
        <v>200</v>
      </c>
      <c r="G242" s="140">
        <v>91210</v>
      </c>
      <c r="H242" s="139" t="s">
        <v>229</v>
      </c>
      <c r="I242" s="139" t="s">
        <v>23</v>
      </c>
      <c r="J242" s="139" t="s">
        <v>19</v>
      </c>
      <c r="K242" s="139" t="s">
        <v>230</v>
      </c>
      <c r="N242" s="156"/>
      <c r="O242" s="157">
        <v>1040</v>
      </c>
      <c r="R242" s="140">
        <v>2</v>
      </c>
      <c r="S242" s="140">
        <v>4</v>
      </c>
      <c r="U242" s="139" t="s">
        <v>232</v>
      </c>
    </row>
    <row r="243" spans="1:26" ht="10.8" thickBot="1">
      <c r="A243" s="139" t="s">
        <v>343</v>
      </c>
      <c r="B243" s="139" t="s">
        <v>344</v>
      </c>
      <c r="C243" s="352">
        <v>38542</v>
      </c>
      <c r="D243" s="741">
        <v>38556</v>
      </c>
      <c r="E243" s="185"/>
      <c r="I243" s="139" t="s">
        <v>23</v>
      </c>
      <c r="J243" s="139" t="s">
        <v>19</v>
      </c>
      <c r="N243" s="156"/>
      <c r="O243" s="157">
        <v>2200</v>
      </c>
      <c r="R243" s="140">
        <v>2</v>
      </c>
      <c r="U243" s="139" t="s">
        <v>232</v>
      </c>
    </row>
    <row r="244" spans="1:26" ht="10.8" thickBot="1">
      <c r="A244" s="721" t="s">
        <v>276</v>
      </c>
      <c r="B244" s="732" t="s">
        <v>277</v>
      </c>
      <c r="C244" s="352">
        <v>38598</v>
      </c>
      <c r="D244" s="741">
        <v>38605</v>
      </c>
      <c r="E244" s="185" t="s">
        <v>337</v>
      </c>
      <c r="G244" s="140">
        <v>44150</v>
      </c>
      <c r="H244" s="139" t="s">
        <v>338</v>
      </c>
      <c r="I244" s="139" t="s">
        <v>23</v>
      </c>
      <c r="J244" s="139" t="s">
        <v>19</v>
      </c>
      <c r="K244" s="139" t="s">
        <v>279</v>
      </c>
      <c r="L244" s="139">
        <v>679076284</v>
      </c>
      <c r="N244" s="156" t="s">
        <v>278</v>
      </c>
      <c r="O244" s="157">
        <v>520</v>
      </c>
      <c r="R244" s="140">
        <v>1</v>
      </c>
      <c r="S244" s="140">
        <v>2</v>
      </c>
      <c r="T244" s="140">
        <v>1</v>
      </c>
      <c r="U244" s="139" t="s">
        <v>232</v>
      </c>
    </row>
    <row r="245" spans="1:26" ht="10.8" thickBot="1">
      <c r="A245" s="139" t="s">
        <v>297</v>
      </c>
      <c r="B245" s="139" t="s">
        <v>298</v>
      </c>
      <c r="C245" s="154">
        <v>38549</v>
      </c>
      <c r="D245" s="744">
        <v>38563</v>
      </c>
      <c r="E245" s="185" t="s">
        <v>299</v>
      </c>
      <c r="G245" s="140">
        <v>54190</v>
      </c>
      <c r="H245" s="139" t="s">
        <v>300</v>
      </c>
      <c r="I245" s="139" t="s">
        <v>23</v>
      </c>
      <c r="J245" s="139" t="s">
        <v>19</v>
      </c>
      <c r="K245" s="139" t="s">
        <v>301</v>
      </c>
      <c r="N245" s="156" t="s">
        <v>302</v>
      </c>
      <c r="O245" s="136">
        <v>1300</v>
      </c>
      <c r="R245" s="140">
        <v>2</v>
      </c>
      <c r="S245" s="140">
        <v>2</v>
      </c>
      <c r="T245" s="140">
        <v>1</v>
      </c>
      <c r="U245" s="139" t="s">
        <v>232</v>
      </c>
    </row>
    <row r="246" spans="1:26" ht="10.8" thickBot="1">
      <c r="A246" s="514" t="s">
        <v>303</v>
      </c>
      <c r="B246" s="183" t="s">
        <v>246</v>
      </c>
      <c r="C246" s="154">
        <v>38563</v>
      </c>
      <c r="D246" s="563">
        <v>38577</v>
      </c>
      <c r="E246" s="190" t="s">
        <v>251</v>
      </c>
      <c r="G246" s="140">
        <v>42000</v>
      </c>
      <c r="H246" s="139" t="s">
        <v>247</v>
      </c>
      <c r="I246" s="139" t="s">
        <v>23</v>
      </c>
      <c r="J246" s="139" t="s">
        <v>19</v>
      </c>
      <c r="K246" s="139" t="s">
        <v>248</v>
      </c>
      <c r="L246" s="139" t="s">
        <v>249</v>
      </c>
      <c r="N246" s="156"/>
      <c r="O246" s="136">
        <v>1300</v>
      </c>
      <c r="R246" s="140">
        <v>2</v>
      </c>
      <c r="S246" s="140">
        <v>3</v>
      </c>
      <c r="U246" s="139" t="s">
        <v>232</v>
      </c>
    </row>
    <row r="247" spans="1:26" ht="10.8" thickBot="1">
      <c r="A247" s="279" t="s">
        <v>283</v>
      </c>
      <c r="B247" s="190" t="s">
        <v>284</v>
      </c>
      <c r="C247" s="349">
        <v>38381</v>
      </c>
      <c r="D247" s="742">
        <v>38388</v>
      </c>
      <c r="E247" s="190" t="s">
        <v>340</v>
      </c>
      <c r="H247" s="139" t="s">
        <v>341</v>
      </c>
      <c r="I247" s="139" t="s">
        <v>212</v>
      </c>
      <c r="J247" s="139" t="s">
        <v>180</v>
      </c>
      <c r="K247" s="350" t="s">
        <v>296</v>
      </c>
      <c r="N247" s="156"/>
      <c r="O247" s="351">
        <v>460</v>
      </c>
      <c r="R247" s="140">
        <v>1</v>
      </c>
      <c r="S247" s="140">
        <v>2</v>
      </c>
      <c r="U247" s="139" t="s">
        <v>232</v>
      </c>
    </row>
    <row r="248" spans="1:26" ht="10.8" thickBot="1">
      <c r="A248" s="279" t="s">
        <v>264</v>
      </c>
      <c r="B248" s="165" t="s">
        <v>263</v>
      </c>
      <c r="C248" s="738">
        <v>38584</v>
      </c>
      <c r="D248" s="738">
        <v>38598</v>
      </c>
      <c r="E248" s="165" t="s">
        <v>334</v>
      </c>
      <c r="F248" s="165"/>
      <c r="G248" s="166"/>
      <c r="H248" s="165" t="s">
        <v>335</v>
      </c>
      <c r="I248" s="165" t="s">
        <v>212</v>
      </c>
      <c r="J248" s="165" t="s">
        <v>180</v>
      </c>
      <c r="K248" s="165" t="s">
        <v>336</v>
      </c>
      <c r="L248" s="165"/>
      <c r="M248" s="165"/>
      <c r="N248" s="428" t="s">
        <v>262</v>
      </c>
      <c r="O248" s="752">
        <f>960+720</f>
        <v>1680</v>
      </c>
      <c r="P248" s="165"/>
      <c r="Q248" s="165"/>
      <c r="R248" s="166">
        <v>2</v>
      </c>
      <c r="S248" s="166">
        <v>5</v>
      </c>
      <c r="T248" s="166"/>
      <c r="U248" s="190" t="s">
        <v>232</v>
      </c>
    </row>
    <row r="249" spans="1:26" ht="108.6" customHeight="1">
      <c r="A249" s="291" t="s">
        <v>1556</v>
      </c>
      <c r="B249" s="291" t="s">
        <v>1557</v>
      </c>
      <c r="C249" s="292">
        <v>42595</v>
      </c>
      <c r="D249" s="292">
        <v>42602</v>
      </c>
      <c r="E249" s="291" t="s">
        <v>1558</v>
      </c>
      <c r="F249" s="291"/>
      <c r="G249" s="293" t="s">
        <v>1559</v>
      </c>
      <c r="H249" s="291" t="s">
        <v>1560</v>
      </c>
      <c r="I249" s="291" t="s">
        <v>1561</v>
      </c>
      <c r="J249" s="291" t="s">
        <v>180</v>
      </c>
      <c r="K249" s="291"/>
      <c r="L249" s="291" t="s">
        <v>1430</v>
      </c>
      <c r="M249" s="291"/>
      <c r="N249" s="294" t="s">
        <v>1562</v>
      </c>
      <c r="O249" s="295">
        <f>1990+20</f>
        <v>2010</v>
      </c>
      <c r="P249" s="291"/>
      <c r="Q249" s="291" t="s">
        <v>1563</v>
      </c>
      <c r="R249" s="293">
        <v>1</v>
      </c>
      <c r="S249" s="293" t="s">
        <v>1564</v>
      </c>
      <c r="T249" s="293">
        <v>1</v>
      </c>
      <c r="U249" s="591">
        <v>500</v>
      </c>
      <c r="V249" s="298">
        <v>42451</v>
      </c>
      <c r="W249" s="291" t="s">
        <v>1565</v>
      </c>
      <c r="X249" s="291" t="s">
        <v>1154</v>
      </c>
      <c r="Y249" s="291"/>
      <c r="Z249" s="291"/>
    </row>
    <row r="250" spans="1:26" ht="11.55" customHeight="1">
      <c r="A250" s="372" t="s">
        <v>1556</v>
      </c>
      <c r="B250" s="372" t="s">
        <v>1557</v>
      </c>
      <c r="C250" s="357">
        <v>43302</v>
      </c>
      <c r="D250" s="357">
        <v>43309</v>
      </c>
      <c r="E250" s="372" t="s">
        <v>1558</v>
      </c>
      <c r="F250" s="372"/>
      <c r="G250" s="374" t="s">
        <v>1559</v>
      </c>
      <c r="H250" s="372" t="s">
        <v>1560</v>
      </c>
      <c r="I250" s="372" t="s">
        <v>1561</v>
      </c>
      <c r="J250" s="372" t="s">
        <v>180</v>
      </c>
      <c r="K250" s="372"/>
      <c r="L250" s="372" t="s">
        <v>1430</v>
      </c>
      <c r="M250" s="372"/>
      <c r="N250" s="401" t="s">
        <v>1562</v>
      </c>
      <c r="O250" s="376">
        <v>1990</v>
      </c>
      <c r="P250" s="372"/>
      <c r="Q250" s="372" t="s">
        <v>1563</v>
      </c>
      <c r="R250" s="374">
        <v>1</v>
      </c>
      <c r="S250" s="374" t="s">
        <v>1564</v>
      </c>
      <c r="T250" s="374">
        <v>1</v>
      </c>
      <c r="U250" s="755"/>
      <c r="V250" s="378">
        <v>43153</v>
      </c>
      <c r="W250" s="355" t="s">
        <v>1911</v>
      </c>
      <c r="X250" s="372" t="s">
        <v>1154</v>
      </c>
      <c r="Y250" s="372"/>
      <c r="Z250" s="372"/>
    </row>
    <row r="251" spans="1:26" ht="13.2">
      <c r="A251" s="291" t="s">
        <v>1658</v>
      </c>
      <c r="B251" s="291" t="s">
        <v>1659</v>
      </c>
      <c r="C251" s="292">
        <v>42882</v>
      </c>
      <c r="D251" s="292">
        <v>42889</v>
      </c>
      <c r="E251" s="291" t="s">
        <v>1660</v>
      </c>
      <c r="F251" s="291"/>
      <c r="G251" s="293" t="s">
        <v>1661</v>
      </c>
      <c r="H251" s="291" t="s">
        <v>18</v>
      </c>
      <c r="I251" s="291" t="s">
        <v>1662</v>
      </c>
      <c r="J251" s="291" t="s">
        <v>51</v>
      </c>
      <c r="K251" s="291" t="s">
        <v>1663</v>
      </c>
      <c r="L251" s="291" t="s">
        <v>1664</v>
      </c>
      <c r="M251" s="291"/>
      <c r="N251" s="294" t="s">
        <v>1761</v>
      </c>
      <c r="O251" s="295">
        <v>1090</v>
      </c>
      <c r="P251" s="291"/>
      <c r="Q251" s="291"/>
      <c r="R251" s="293">
        <v>1</v>
      </c>
      <c r="S251" s="293">
        <v>2</v>
      </c>
      <c r="T251" s="293">
        <v>1</v>
      </c>
      <c r="U251" s="296">
        <v>272.5</v>
      </c>
      <c r="V251" s="298">
        <v>42750</v>
      </c>
      <c r="W251" s="291" t="s">
        <v>1665</v>
      </c>
      <c r="X251" s="291"/>
      <c r="Y251" s="291"/>
      <c r="Z251" s="291"/>
    </row>
    <row r="252" spans="1:26" s="143" customFormat="1">
      <c r="A252" s="143" t="s">
        <v>541</v>
      </c>
      <c r="C252" s="144">
        <v>40047</v>
      </c>
      <c r="D252" s="144">
        <v>40054</v>
      </c>
      <c r="E252" s="143" t="s">
        <v>542</v>
      </c>
      <c r="G252" s="145">
        <v>4970</v>
      </c>
      <c r="H252" s="143" t="s">
        <v>543</v>
      </c>
      <c r="I252" s="143" t="s">
        <v>54</v>
      </c>
      <c r="J252" s="143" t="s">
        <v>19</v>
      </c>
      <c r="K252" s="143" t="s">
        <v>544</v>
      </c>
      <c r="L252" s="173" t="s">
        <v>545</v>
      </c>
      <c r="N252" s="147" t="s">
        <v>546</v>
      </c>
      <c r="O252" s="148">
        <f>1190+70</f>
        <v>1260</v>
      </c>
      <c r="Q252" s="143" t="s">
        <v>547</v>
      </c>
      <c r="R252" s="145">
        <v>1</v>
      </c>
      <c r="S252" s="145">
        <v>4</v>
      </c>
      <c r="T252" s="145"/>
      <c r="U252" s="174">
        <v>300</v>
      </c>
    </row>
    <row r="253" spans="1:26" s="143" customFormat="1">
      <c r="A253" s="143" t="s">
        <v>601</v>
      </c>
      <c r="B253" s="143" t="s">
        <v>347</v>
      </c>
      <c r="C253" s="144">
        <v>40320</v>
      </c>
      <c r="D253" s="144">
        <v>40327</v>
      </c>
      <c r="E253" s="143" t="s">
        <v>348</v>
      </c>
      <c r="G253" s="145" t="s">
        <v>349</v>
      </c>
      <c r="H253" s="143" t="s">
        <v>350</v>
      </c>
      <c r="I253" s="143" t="s">
        <v>54</v>
      </c>
      <c r="J253" s="143" t="s">
        <v>19</v>
      </c>
      <c r="L253" s="143" t="s">
        <v>351</v>
      </c>
      <c r="N253" s="147" t="s">
        <v>352</v>
      </c>
      <c r="O253" s="204">
        <f>790+70</f>
        <v>860</v>
      </c>
      <c r="Q253" s="173" t="s">
        <v>612</v>
      </c>
      <c r="R253" s="145">
        <v>1</v>
      </c>
      <c r="S253" s="145">
        <v>6</v>
      </c>
      <c r="T253" s="145">
        <v>1</v>
      </c>
      <c r="U253" s="205">
        <f>O253/4</f>
        <v>215</v>
      </c>
    </row>
    <row r="254" spans="1:26" s="143" customFormat="1">
      <c r="A254" s="219" t="s">
        <v>601</v>
      </c>
      <c r="B254" s="219" t="s">
        <v>347</v>
      </c>
      <c r="C254" s="220">
        <v>40690</v>
      </c>
      <c r="D254" s="220">
        <v>40698</v>
      </c>
      <c r="E254" s="219" t="s">
        <v>348</v>
      </c>
      <c r="F254" s="219"/>
      <c r="G254" s="221" t="s">
        <v>349</v>
      </c>
      <c r="H254" s="219" t="s">
        <v>350</v>
      </c>
      <c r="I254" s="219" t="s">
        <v>54</v>
      </c>
      <c r="J254" s="219" t="s">
        <v>19</v>
      </c>
      <c r="K254" s="219"/>
      <c r="L254" s="219" t="s">
        <v>351</v>
      </c>
      <c r="M254" s="219"/>
      <c r="N254" s="222" t="s">
        <v>352</v>
      </c>
      <c r="O254" s="223">
        <f>890+70</f>
        <v>960</v>
      </c>
      <c r="P254" s="219"/>
      <c r="Q254" s="219" t="s">
        <v>766</v>
      </c>
      <c r="R254" s="221">
        <v>1</v>
      </c>
      <c r="S254" s="221">
        <v>6</v>
      </c>
      <c r="T254" s="221">
        <v>1</v>
      </c>
      <c r="U254" s="224">
        <v>222.5</v>
      </c>
      <c r="V254" s="219"/>
      <c r="W254" s="219"/>
      <c r="X254" s="219"/>
      <c r="Y254" s="219"/>
      <c r="Z254" s="219"/>
    </row>
    <row r="255" spans="1:26" s="143" customFormat="1">
      <c r="A255" s="143" t="s">
        <v>846</v>
      </c>
      <c r="B255" s="143" t="s">
        <v>847</v>
      </c>
      <c r="C255" s="144">
        <v>41055</v>
      </c>
      <c r="D255" s="144">
        <v>41062</v>
      </c>
      <c r="E255" s="143" t="s">
        <v>848</v>
      </c>
      <c r="G255" s="145" t="s">
        <v>849</v>
      </c>
      <c r="H255" s="143" t="s">
        <v>850</v>
      </c>
      <c r="I255" s="143" t="s">
        <v>54</v>
      </c>
      <c r="J255" s="143" t="s">
        <v>19</v>
      </c>
      <c r="L255" s="143" t="s">
        <v>851</v>
      </c>
      <c r="N255" s="147" t="s">
        <v>852</v>
      </c>
      <c r="O255" s="148">
        <f>890</f>
        <v>890</v>
      </c>
      <c r="Q255" s="143" t="s">
        <v>853</v>
      </c>
      <c r="R255" s="145">
        <v>1</v>
      </c>
      <c r="S255" s="145">
        <v>6</v>
      </c>
      <c r="T255" s="145"/>
      <c r="U255" s="236">
        <v>250</v>
      </c>
      <c r="V255" s="238">
        <v>40940</v>
      </c>
      <c r="W255" s="143" t="s">
        <v>865</v>
      </c>
    </row>
    <row r="256" spans="1:26" s="143" customFormat="1">
      <c r="A256" s="143" t="s">
        <v>1062</v>
      </c>
      <c r="B256" s="143" t="s">
        <v>1063</v>
      </c>
      <c r="C256" s="144">
        <v>41440</v>
      </c>
      <c r="D256" s="144">
        <v>41452</v>
      </c>
      <c r="E256" s="143" t="s">
        <v>1064</v>
      </c>
      <c r="G256" s="145" t="s">
        <v>1065</v>
      </c>
      <c r="I256" s="143" t="s">
        <v>54</v>
      </c>
      <c r="J256" s="143" t="s">
        <v>19</v>
      </c>
      <c r="K256" s="143" t="s">
        <v>1067</v>
      </c>
      <c r="L256" s="143" t="s">
        <v>1066</v>
      </c>
      <c r="N256" s="147" t="s">
        <v>1068</v>
      </c>
      <c r="O256" s="148">
        <f>1190+3*12+810</f>
        <v>2036</v>
      </c>
      <c r="Q256" s="143" t="s">
        <v>1069</v>
      </c>
      <c r="R256" s="145">
        <v>2</v>
      </c>
      <c r="S256" s="145" t="s">
        <v>1070</v>
      </c>
      <c r="T256" s="145">
        <v>1</v>
      </c>
      <c r="U256" s="236">
        <f>O256/4</f>
        <v>509</v>
      </c>
      <c r="V256" s="238">
        <v>41302</v>
      </c>
      <c r="W256" s="143" t="s">
        <v>1071</v>
      </c>
    </row>
    <row r="257" spans="1:26" s="143" customFormat="1">
      <c r="A257" s="143" t="s">
        <v>1062</v>
      </c>
      <c r="B257" s="143" t="s">
        <v>1063</v>
      </c>
      <c r="C257" s="144">
        <v>41874</v>
      </c>
      <c r="D257" s="144">
        <v>41888</v>
      </c>
      <c r="E257" s="143" t="s">
        <v>1064</v>
      </c>
      <c r="G257" s="145" t="s">
        <v>1065</v>
      </c>
      <c r="I257" s="143" t="s">
        <v>54</v>
      </c>
      <c r="J257" s="143" t="s">
        <v>19</v>
      </c>
      <c r="K257" s="143" t="s">
        <v>1067</v>
      </c>
      <c r="L257" s="143" t="s">
        <v>1066</v>
      </c>
      <c r="N257" s="147" t="s">
        <v>1068</v>
      </c>
      <c r="O257" s="148">
        <f>1590+1290</f>
        <v>2880</v>
      </c>
      <c r="Q257" s="143" t="s">
        <v>1183</v>
      </c>
      <c r="R257" s="145">
        <v>2</v>
      </c>
      <c r="S257" s="145" t="s">
        <v>1070</v>
      </c>
      <c r="T257" s="145">
        <v>1</v>
      </c>
      <c r="U257" s="236">
        <f>O257/4</f>
        <v>720</v>
      </c>
      <c r="V257" s="238">
        <v>41302</v>
      </c>
      <c r="W257" s="143" t="s">
        <v>1071</v>
      </c>
    </row>
    <row r="258" spans="1:26" s="143" customFormat="1" ht="13.2">
      <c r="A258" s="143" t="s">
        <v>1347</v>
      </c>
      <c r="B258" s="143" t="s">
        <v>1346</v>
      </c>
      <c r="C258" s="144">
        <v>42098</v>
      </c>
      <c r="D258" s="144">
        <v>42112</v>
      </c>
      <c r="E258" s="143" t="s">
        <v>1349</v>
      </c>
      <c r="G258" s="145" t="s">
        <v>1350</v>
      </c>
      <c r="H258" s="143" t="s">
        <v>300</v>
      </c>
      <c r="I258" s="143" t="s">
        <v>54</v>
      </c>
      <c r="J258" s="143" t="s">
        <v>19</v>
      </c>
      <c r="K258" s="143" t="s">
        <v>1351</v>
      </c>
      <c r="L258" s="143" t="s">
        <v>1352</v>
      </c>
      <c r="N258" s="281" t="s">
        <v>1344</v>
      </c>
      <c r="O258" s="148">
        <f>790+790</f>
        <v>1580</v>
      </c>
      <c r="Q258" s="143" t="s">
        <v>1348</v>
      </c>
      <c r="R258" s="145">
        <v>2</v>
      </c>
      <c r="S258" s="145" t="s">
        <v>1353</v>
      </c>
      <c r="T258" s="145">
        <v>0</v>
      </c>
      <c r="U258" s="236">
        <v>395</v>
      </c>
      <c r="V258" s="240">
        <v>41968</v>
      </c>
      <c r="W258" s="238" t="s">
        <v>1345</v>
      </c>
      <c r="X258" s="143" t="s">
        <v>1154</v>
      </c>
    </row>
    <row r="259" spans="1:26" s="143" customFormat="1" ht="13.2">
      <c r="A259" s="143" t="s">
        <v>1062</v>
      </c>
      <c r="B259" s="143" t="s">
        <v>1063</v>
      </c>
      <c r="C259" s="144">
        <v>42231</v>
      </c>
      <c r="D259" s="144">
        <v>42245</v>
      </c>
      <c r="E259" s="143" t="s">
        <v>1064</v>
      </c>
      <c r="G259" s="145" t="s">
        <v>1065</v>
      </c>
      <c r="I259" s="143" t="s">
        <v>54</v>
      </c>
      <c r="J259" s="143" t="s">
        <v>19</v>
      </c>
      <c r="K259" s="143" t="s">
        <v>1067</v>
      </c>
      <c r="L259" s="143" t="s">
        <v>1066</v>
      </c>
      <c r="N259" s="253" t="s">
        <v>1068</v>
      </c>
      <c r="O259" s="148">
        <f>1790+1590</f>
        <v>3380</v>
      </c>
      <c r="Q259" s="143" t="s">
        <v>1183</v>
      </c>
      <c r="R259" s="145">
        <v>2</v>
      </c>
      <c r="S259" s="145" t="s">
        <v>1070</v>
      </c>
      <c r="T259" s="145">
        <v>1</v>
      </c>
      <c r="U259" s="236"/>
      <c r="V259" s="238">
        <v>42003</v>
      </c>
      <c r="W259" s="143" t="s">
        <v>1071</v>
      </c>
      <c r="X259" s="143" t="s">
        <v>1154</v>
      </c>
    </row>
    <row r="260" spans="1:26" s="143" customFormat="1" ht="13.2">
      <c r="A260" s="143" t="s">
        <v>1354</v>
      </c>
      <c r="B260" s="143" t="s">
        <v>188</v>
      </c>
      <c r="C260" s="144">
        <v>42245</v>
      </c>
      <c r="D260" s="144">
        <v>42252</v>
      </c>
      <c r="E260" s="143" t="s">
        <v>1355</v>
      </c>
      <c r="G260" s="145" t="s">
        <v>1356</v>
      </c>
      <c r="H260" s="143" t="s">
        <v>1357</v>
      </c>
      <c r="I260" s="143" t="s">
        <v>54</v>
      </c>
      <c r="J260" s="143" t="s">
        <v>19</v>
      </c>
      <c r="K260" s="143" t="s">
        <v>1358</v>
      </c>
      <c r="L260" s="143" t="s">
        <v>1359</v>
      </c>
      <c r="N260" s="253" t="s">
        <v>1360</v>
      </c>
      <c r="O260" s="148">
        <v>1390</v>
      </c>
      <c r="Q260" s="143" t="s">
        <v>1361</v>
      </c>
      <c r="R260" s="145">
        <v>1</v>
      </c>
      <c r="S260" s="145" t="s">
        <v>1362</v>
      </c>
      <c r="T260" s="145">
        <v>1</v>
      </c>
      <c r="U260" s="236">
        <v>374.5</v>
      </c>
      <c r="V260" s="238">
        <v>41969</v>
      </c>
      <c r="W260" s="143" t="s">
        <v>1338</v>
      </c>
      <c r="X260" s="143" t="s">
        <v>1154</v>
      </c>
    </row>
    <row r="261" spans="1:26" s="143" customFormat="1" ht="13.2">
      <c r="A261" s="143" t="s">
        <v>1347</v>
      </c>
      <c r="B261" s="143" t="s">
        <v>1346</v>
      </c>
      <c r="C261" s="144">
        <v>42307</v>
      </c>
      <c r="D261" s="144">
        <v>42315</v>
      </c>
      <c r="E261" s="143" t="s">
        <v>1349</v>
      </c>
      <c r="G261" s="145" t="s">
        <v>1350</v>
      </c>
      <c r="H261" s="143" t="s">
        <v>300</v>
      </c>
      <c r="I261" s="143" t="s">
        <v>54</v>
      </c>
      <c r="J261" s="143" t="s">
        <v>19</v>
      </c>
      <c r="K261" s="143" t="s">
        <v>1351</v>
      </c>
      <c r="L261" s="143" t="s">
        <v>1352</v>
      </c>
      <c r="N261" s="281" t="s">
        <v>1344</v>
      </c>
      <c r="O261" s="148">
        <v>790</v>
      </c>
      <c r="Q261" s="143" t="s">
        <v>1348</v>
      </c>
      <c r="R261" s="145">
        <v>1</v>
      </c>
      <c r="S261" s="145" t="s">
        <v>1451</v>
      </c>
      <c r="T261" s="145">
        <v>0</v>
      </c>
      <c r="U261" s="236">
        <v>400</v>
      </c>
      <c r="V261" s="240">
        <v>41968</v>
      </c>
      <c r="W261" s="238" t="s">
        <v>1345</v>
      </c>
      <c r="X261" s="143" t="s">
        <v>1154</v>
      </c>
    </row>
    <row r="262" spans="1:26" s="143" customFormat="1" ht="13.2">
      <c r="A262" s="143" t="s">
        <v>1062</v>
      </c>
      <c r="B262" s="143" t="s">
        <v>1063</v>
      </c>
      <c r="C262" s="144">
        <v>42462</v>
      </c>
      <c r="D262" s="144">
        <v>42469</v>
      </c>
      <c r="E262" s="143" t="s">
        <v>1064</v>
      </c>
      <c r="G262" s="145" t="s">
        <v>1065</v>
      </c>
      <c r="I262" s="143" t="s">
        <v>54</v>
      </c>
      <c r="J262" s="143" t="s">
        <v>19</v>
      </c>
      <c r="K262" s="143" t="s">
        <v>1067</v>
      </c>
      <c r="L262" s="143" t="s">
        <v>1066</v>
      </c>
      <c r="N262" s="253" t="s">
        <v>1068</v>
      </c>
      <c r="O262" s="148">
        <f>U262*4+50</f>
        <v>840</v>
      </c>
      <c r="Q262" s="143" t="s">
        <v>1183</v>
      </c>
      <c r="R262" s="145">
        <v>1</v>
      </c>
      <c r="S262" s="145" t="s">
        <v>1518</v>
      </c>
      <c r="T262" s="145">
        <v>1</v>
      </c>
      <c r="U262" s="236">
        <v>197.5</v>
      </c>
      <c r="V262" s="238" t="s">
        <v>1519</v>
      </c>
      <c r="W262" s="143" t="s">
        <v>1071</v>
      </c>
      <c r="X262" s="143" t="s">
        <v>1154</v>
      </c>
    </row>
    <row r="263" spans="1:26" s="143" customFormat="1" ht="13.2">
      <c r="A263" s="291" t="s">
        <v>1062</v>
      </c>
      <c r="B263" s="291" t="s">
        <v>1063</v>
      </c>
      <c r="C263" s="292">
        <v>42833</v>
      </c>
      <c r="D263" s="292">
        <v>42840</v>
      </c>
      <c r="E263" s="291" t="s">
        <v>1064</v>
      </c>
      <c r="F263" s="291"/>
      <c r="G263" s="293" t="s">
        <v>1065</v>
      </c>
      <c r="H263" s="291" t="s">
        <v>54</v>
      </c>
      <c r="I263" s="291" t="s">
        <v>54</v>
      </c>
      <c r="J263" s="291" t="s">
        <v>19</v>
      </c>
      <c r="K263" s="291" t="s">
        <v>1067</v>
      </c>
      <c r="L263" s="291" t="s">
        <v>1066</v>
      </c>
      <c r="M263" s="291"/>
      <c r="N263" s="299" t="s">
        <v>1068</v>
      </c>
      <c r="O263" s="295">
        <f>U263*4</f>
        <v>790</v>
      </c>
      <c r="P263" s="291"/>
      <c r="Q263" s="291" t="s">
        <v>1183</v>
      </c>
      <c r="R263" s="293">
        <v>1</v>
      </c>
      <c r="S263" s="293" t="s">
        <v>1518</v>
      </c>
      <c r="T263" s="293">
        <v>1</v>
      </c>
      <c r="U263" s="296">
        <v>197.5</v>
      </c>
      <c r="V263" s="298" t="s">
        <v>1519</v>
      </c>
      <c r="W263" s="291" t="s">
        <v>1071</v>
      </c>
      <c r="X263" s="291" t="s">
        <v>1154</v>
      </c>
      <c r="Y263" s="291"/>
      <c r="Z263" s="291"/>
    </row>
    <row r="264" spans="1:26" s="225" customFormat="1">
      <c r="A264" s="291" t="s">
        <v>601</v>
      </c>
      <c r="B264" s="291" t="s">
        <v>347</v>
      </c>
      <c r="C264" s="292">
        <v>42889</v>
      </c>
      <c r="D264" s="292">
        <v>42896</v>
      </c>
      <c r="E264" s="291" t="s">
        <v>348</v>
      </c>
      <c r="F264" s="291"/>
      <c r="G264" s="293" t="s">
        <v>349</v>
      </c>
      <c r="H264" s="291" t="s">
        <v>350</v>
      </c>
      <c r="I264" s="291" t="s">
        <v>54</v>
      </c>
      <c r="J264" s="291" t="s">
        <v>19</v>
      </c>
      <c r="K264" s="291"/>
      <c r="L264" s="291" t="s">
        <v>351</v>
      </c>
      <c r="M264" s="291"/>
      <c r="N264" s="324" t="s">
        <v>352</v>
      </c>
      <c r="O264" s="339">
        <v>1090</v>
      </c>
      <c r="P264" s="291"/>
      <c r="Q264" s="340" t="s">
        <v>1679</v>
      </c>
      <c r="R264" s="293">
        <v>1</v>
      </c>
      <c r="S264" s="293">
        <v>6</v>
      </c>
      <c r="T264" s="293">
        <v>1</v>
      </c>
      <c r="U264" s="341">
        <v>275</v>
      </c>
      <c r="V264" s="291"/>
      <c r="W264" s="291" t="s">
        <v>1519</v>
      </c>
      <c r="X264" s="291"/>
      <c r="Y264" s="291"/>
      <c r="Z264" s="291"/>
    </row>
    <row r="265" spans="1:26" s="143" customFormat="1">
      <c r="A265" s="355" t="s">
        <v>1902</v>
      </c>
      <c r="B265" s="355" t="s">
        <v>1903</v>
      </c>
      <c r="C265" s="357">
        <v>43161</v>
      </c>
      <c r="D265" s="357">
        <v>43175</v>
      </c>
      <c r="E265" s="355" t="s">
        <v>1904</v>
      </c>
      <c r="F265" s="355"/>
      <c r="G265" s="358"/>
      <c r="H265" s="355"/>
      <c r="I265" s="355" t="s">
        <v>54</v>
      </c>
      <c r="J265" s="355" t="s">
        <v>19</v>
      </c>
      <c r="K265" s="355"/>
      <c r="L265" s="355" t="s">
        <v>1905</v>
      </c>
      <c r="M265" s="355"/>
      <c r="N265" s="365" t="s">
        <v>1906</v>
      </c>
      <c r="O265" s="359">
        <v>1618</v>
      </c>
      <c r="P265" s="355"/>
      <c r="Q265" s="355" t="s">
        <v>1907</v>
      </c>
      <c r="R265" s="358">
        <v>2</v>
      </c>
      <c r="S265" s="358">
        <v>2</v>
      </c>
      <c r="T265" s="358">
        <v>4</v>
      </c>
      <c r="U265" s="356">
        <v>0</v>
      </c>
      <c r="V265" s="360">
        <v>43145</v>
      </c>
      <c r="W265" s="355"/>
      <c r="X265" s="355" t="s">
        <v>1154</v>
      </c>
      <c r="Y265" s="355"/>
      <c r="Z265" s="355"/>
    </row>
    <row r="266" spans="1:26" s="143" customFormat="1">
      <c r="A266" s="355" t="s">
        <v>1062</v>
      </c>
      <c r="B266" s="355" t="s">
        <v>1063</v>
      </c>
      <c r="C266" s="357">
        <v>43239</v>
      </c>
      <c r="D266" s="357">
        <v>43246</v>
      </c>
      <c r="E266" s="355" t="s">
        <v>1064</v>
      </c>
      <c r="F266" s="355"/>
      <c r="G266" s="358" t="s">
        <v>1065</v>
      </c>
      <c r="H266" s="355" t="s">
        <v>54</v>
      </c>
      <c r="I266" s="355" t="s">
        <v>54</v>
      </c>
      <c r="J266" s="355" t="s">
        <v>19</v>
      </c>
      <c r="K266" s="355" t="s">
        <v>1067</v>
      </c>
      <c r="L266" s="355" t="s">
        <v>1066</v>
      </c>
      <c r="M266" s="355"/>
      <c r="N266" s="362" t="s">
        <v>1068</v>
      </c>
      <c r="O266" s="359">
        <v>990</v>
      </c>
      <c r="P266" s="355"/>
      <c r="Q266" s="355" t="s">
        <v>1808</v>
      </c>
      <c r="R266" s="358">
        <v>1</v>
      </c>
      <c r="S266" s="358" t="s">
        <v>1518</v>
      </c>
      <c r="T266" s="358">
        <v>1</v>
      </c>
      <c r="U266" s="356" t="s">
        <v>1832</v>
      </c>
      <c r="V266" s="360">
        <v>43041</v>
      </c>
      <c r="W266" s="355" t="s">
        <v>1519</v>
      </c>
      <c r="X266" s="355" t="s">
        <v>1154</v>
      </c>
      <c r="Y266" s="355"/>
      <c r="Z266" s="355"/>
    </row>
    <row r="267" spans="1:26" s="143" customFormat="1">
      <c r="A267" s="355" t="s">
        <v>1062</v>
      </c>
      <c r="B267" s="355" t="s">
        <v>1063</v>
      </c>
      <c r="C267" s="357">
        <v>43610</v>
      </c>
      <c r="D267" s="357">
        <v>43617</v>
      </c>
      <c r="E267" s="355" t="s">
        <v>1064</v>
      </c>
      <c r="F267" s="355"/>
      <c r="G267" s="358" t="s">
        <v>1065</v>
      </c>
      <c r="H267" s="355" t="s">
        <v>54</v>
      </c>
      <c r="I267" s="355" t="s">
        <v>54</v>
      </c>
      <c r="J267" s="355" t="s">
        <v>19</v>
      </c>
      <c r="K267" s="355" t="s">
        <v>1067</v>
      </c>
      <c r="L267" s="355" t="s">
        <v>1066</v>
      </c>
      <c r="M267" s="355"/>
      <c r="N267" s="362" t="s">
        <v>1068</v>
      </c>
      <c r="O267" s="359">
        <v>1090</v>
      </c>
      <c r="P267" s="355"/>
      <c r="Q267" s="355" t="s">
        <v>1808</v>
      </c>
      <c r="R267" s="358">
        <v>1</v>
      </c>
      <c r="S267" s="358" t="s">
        <v>1518</v>
      </c>
      <c r="T267" s="358">
        <v>1</v>
      </c>
      <c r="U267" s="356" t="s">
        <v>1832</v>
      </c>
      <c r="V267" s="360">
        <v>43041</v>
      </c>
      <c r="W267" s="355" t="s">
        <v>1519</v>
      </c>
      <c r="X267" s="355" t="s">
        <v>1154</v>
      </c>
      <c r="Y267" s="355"/>
      <c r="Z267" s="355"/>
    </row>
    <row r="268" spans="1:26" s="143" customFormat="1" ht="13.2">
      <c r="A268" s="115" t="s">
        <v>2265</v>
      </c>
      <c r="B268" s="115" t="s">
        <v>2264</v>
      </c>
      <c r="C268" s="116">
        <v>43694</v>
      </c>
      <c r="D268" s="116">
        <v>43708</v>
      </c>
      <c r="E268" s="115" t="s">
        <v>2266</v>
      </c>
      <c r="F268" s="115"/>
      <c r="G268" s="361" t="s">
        <v>2267</v>
      </c>
      <c r="H268" s="115" t="s">
        <v>2268</v>
      </c>
      <c r="I268" s="115" t="s">
        <v>54</v>
      </c>
      <c r="J268" s="115" t="s">
        <v>19</v>
      </c>
      <c r="K268" s="115"/>
      <c r="L268" s="115" t="s">
        <v>2269</v>
      </c>
      <c r="M268" s="115"/>
      <c r="N268" s="121" t="s">
        <v>2270</v>
      </c>
      <c r="O268" s="118">
        <v>3680</v>
      </c>
      <c r="P268" s="115"/>
      <c r="Q268" s="115" t="s">
        <v>599</v>
      </c>
      <c r="R268" s="361">
        <v>2</v>
      </c>
      <c r="S268" s="361">
        <v>3</v>
      </c>
      <c r="T268" s="361">
        <v>2</v>
      </c>
      <c r="U268" s="119">
        <v>920</v>
      </c>
      <c r="V268" s="120">
        <v>43559</v>
      </c>
      <c r="W268" s="115" t="s">
        <v>1477</v>
      </c>
      <c r="X268" s="115"/>
      <c r="Y268" s="115"/>
      <c r="Z268" s="115"/>
    </row>
    <row r="269" spans="1:26" s="143" customFormat="1" ht="13.2">
      <c r="A269" s="355" t="s">
        <v>2440</v>
      </c>
      <c r="B269" s="355" t="s">
        <v>2441</v>
      </c>
      <c r="C269" s="373">
        <v>43918</v>
      </c>
      <c r="D269" s="373">
        <v>43925</v>
      </c>
      <c r="E269" s="372" t="s">
        <v>1064</v>
      </c>
      <c r="F269" s="372"/>
      <c r="G269" s="374" t="s">
        <v>1065</v>
      </c>
      <c r="H269" s="372"/>
      <c r="I269" s="372" t="s">
        <v>54</v>
      </c>
      <c r="J269" s="372" t="s">
        <v>19</v>
      </c>
      <c r="K269" s="372"/>
      <c r="L269" s="355" t="s">
        <v>2443</v>
      </c>
      <c r="M269" s="372"/>
      <c r="N269" s="401" t="s">
        <v>2442</v>
      </c>
      <c r="O269" s="376">
        <v>0</v>
      </c>
      <c r="P269" s="372"/>
      <c r="Q269" s="355" t="s">
        <v>2551</v>
      </c>
      <c r="R269" s="374">
        <v>1</v>
      </c>
      <c r="S269" s="358" t="s">
        <v>2444</v>
      </c>
      <c r="T269" s="374">
        <v>1</v>
      </c>
      <c r="U269" s="356" t="s">
        <v>2445</v>
      </c>
      <c r="V269" s="378">
        <v>41302</v>
      </c>
      <c r="W269" s="372" t="s">
        <v>1071</v>
      </c>
      <c r="X269" s="355" t="s">
        <v>1154</v>
      </c>
      <c r="Y269" s="372"/>
      <c r="Z269" s="372"/>
    </row>
    <row r="270" spans="1:26" s="143" customFormat="1">
      <c r="A270" s="139" t="s">
        <v>346</v>
      </c>
      <c r="B270" s="139" t="s">
        <v>347</v>
      </c>
      <c r="C270" s="352">
        <v>38486</v>
      </c>
      <c r="D270" s="352">
        <v>38493</v>
      </c>
      <c r="E270" s="139" t="s">
        <v>348</v>
      </c>
      <c r="F270" s="139"/>
      <c r="G270" s="140" t="s">
        <v>349</v>
      </c>
      <c r="H270" s="139" t="s">
        <v>350</v>
      </c>
      <c r="I270" s="139" t="s">
        <v>54</v>
      </c>
      <c r="J270" s="139" t="s">
        <v>19</v>
      </c>
      <c r="K270" s="139"/>
      <c r="L270" s="139" t="s">
        <v>351</v>
      </c>
      <c r="M270" s="139"/>
      <c r="N270" s="156" t="s">
        <v>352</v>
      </c>
      <c r="O270" s="353">
        <v>460</v>
      </c>
      <c r="P270" s="139"/>
      <c r="Q270" s="139" t="s">
        <v>353</v>
      </c>
      <c r="R270" s="140">
        <v>1</v>
      </c>
      <c r="S270" s="140">
        <v>6</v>
      </c>
      <c r="T270" s="140">
        <v>1</v>
      </c>
      <c r="U270" s="185"/>
      <c r="V270" s="139"/>
      <c r="W270" s="139"/>
      <c r="X270" s="139"/>
      <c r="Y270" s="139"/>
      <c r="Z270" s="139"/>
    </row>
    <row r="271" spans="1:26" s="143" customFormat="1">
      <c r="A271" s="139" t="s">
        <v>102</v>
      </c>
      <c r="B271" s="139" t="s">
        <v>345</v>
      </c>
      <c r="C271" s="352">
        <v>38556</v>
      </c>
      <c r="D271" s="352">
        <v>38570</v>
      </c>
      <c r="E271" s="139" t="s">
        <v>139</v>
      </c>
      <c r="F271" s="139"/>
      <c r="G271" s="140" t="s">
        <v>140</v>
      </c>
      <c r="H271" s="139" t="s">
        <v>141</v>
      </c>
      <c r="I271" s="139" t="s">
        <v>54</v>
      </c>
      <c r="J271" s="139" t="s">
        <v>19</v>
      </c>
      <c r="K271" s="139" t="s">
        <v>138</v>
      </c>
      <c r="L271" s="139"/>
      <c r="M271" s="139"/>
      <c r="N271" s="156" t="s">
        <v>142</v>
      </c>
      <c r="O271" s="157">
        <v>2200</v>
      </c>
      <c r="P271" s="139"/>
      <c r="Q271" s="139"/>
      <c r="R271" s="140">
        <v>2</v>
      </c>
      <c r="S271" s="140">
        <v>7</v>
      </c>
      <c r="T271" s="140"/>
      <c r="U271" s="185" t="s">
        <v>232</v>
      </c>
      <c r="V271" s="139"/>
      <c r="W271" s="139"/>
      <c r="X271" s="139"/>
      <c r="Y271" s="139"/>
      <c r="Z271" s="139"/>
    </row>
    <row r="272" spans="1:26" s="143" customFormat="1" ht="21">
      <c r="A272" s="143" t="s">
        <v>362</v>
      </c>
      <c r="B272" s="143" t="s">
        <v>363</v>
      </c>
      <c r="C272" s="144">
        <v>39523</v>
      </c>
      <c r="D272" s="144">
        <v>39540</v>
      </c>
      <c r="E272" s="143" t="s">
        <v>369</v>
      </c>
      <c r="G272" s="145">
        <v>4085</v>
      </c>
      <c r="H272" s="143" t="s">
        <v>367</v>
      </c>
      <c r="I272" s="143" t="s">
        <v>365</v>
      </c>
      <c r="J272" s="143" t="s">
        <v>180</v>
      </c>
      <c r="K272" s="143" t="s">
        <v>368</v>
      </c>
      <c r="L272" s="143" t="s">
        <v>364</v>
      </c>
      <c r="M272" s="146"/>
      <c r="N272" s="147" t="s">
        <v>366</v>
      </c>
      <c r="O272" s="148">
        <v>1400</v>
      </c>
      <c r="R272" s="145">
        <v>2</v>
      </c>
      <c r="S272" s="145">
        <v>5</v>
      </c>
      <c r="T272" s="145"/>
      <c r="U272" s="149">
        <v>350</v>
      </c>
    </row>
    <row r="273" spans="1:26" s="282" customFormat="1">
      <c r="A273" s="219" t="s">
        <v>769</v>
      </c>
      <c r="B273" s="219" t="s">
        <v>768</v>
      </c>
      <c r="C273" s="220">
        <v>40719</v>
      </c>
      <c r="D273" s="220">
        <v>40727</v>
      </c>
      <c r="E273" s="219"/>
      <c r="F273" s="219"/>
      <c r="G273" s="221"/>
      <c r="H273" s="219"/>
      <c r="I273" s="219" t="s">
        <v>103</v>
      </c>
      <c r="J273" s="219" t="s">
        <v>19</v>
      </c>
      <c r="K273" s="219"/>
      <c r="L273" s="219"/>
      <c r="M273" s="219"/>
      <c r="N273" s="222"/>
      <c r="O273" s="223">
        <v>500</v>
      </c>
      <c r="P273" s="219"/>
      <c r="Q273" s="219" t="s">
        <v>770</v>
      </c>
      <c r="R273" s="221">
        <v>1</v>
      </c>
      <c r="S273" s="221">
        <v>4</v>
      </c>
      <c r="T273" s="221">
        <v>0</v>
      </c>
      <c r="U273" s="231">
        <v>0</v>
      </c>
      <c r="V273" s="219"/>
      <c r="W273" s="219"/>
      <c r="X273" s="219"/>
      <c r="Y273" s="219"/>
      <c r="Z273" s="219"/>
    </row>
    <row r="274" spans="1:26" s="143" customFormat="1">
      <c r="A274" s="143" t="s">
        <v>882</v>
      </c>
      <c r="B274" s="143" t="s">
        <v>528</v>
      </c>
      <c r="C274" s="144">
        <v>41034</v>
      </c>
      <c r="D274" s="144">
        <v>41044</v>
      </c>
      <c r="G274" s="145"/>
      <c r="I274" s="143" t="s">
        <v>884</v>
      </c>
      <c r="J274" s="143" t="s">
        <v>51</v>
      </c>
      <c r="K274" s="143" t="s">
        <v>885</v>
      </c>
      <c r="L274" s="143" t="s">
        <v>886</v>
      </c>
      <c r="N274" s="147" t="s">
        <v>887</v>
      </c>
      <c r="O274" s="148">
        <f>1250+2*10*3+70</f>
        <v>1380</v>
      </c>
      <c r="R274" s="145">
        <v>2</v>
      </c>
      <c r="S274" s="145">
        <v>2</v>
      </c>
      <c r="T274" s="145">
        <v>2</v>
      </c>
      <c r="U274" s="236">
        <f>O274/4</f>
        <v>345</v>
      </c>
      <c r="V274" s="238">
        <v>40970</v>
      </c>
      <c r="W274" s="143" t="s">
        <v>791</v>
      </c>
    </row>
    <row r="275" spans="1:26" s="143" customFormat="1">
      <c r="A275" s="225" t="s">
        <v>1027</v>
      </c>
      <c r="B275" s="225" t="s">
        <v>1028</v>
      </c>
      <c r="C275" s="226">
        <v>41391</v>
      </c>
      <c r="D275" s="226">
        <v>41398</v>
      </c>
      <c r="E275" s="225" t="s">
        <v>1029</v>
      </c>
      <c r="F275" s="225"/>
      <c r="G275" s="227" t="s">
        <v>1030</v>
      </c>
      <c r="H275" s="225" t="s">
        <v>1031</v>
      </c>
      <c r="I275" s="225" t="s">
        <v>884</v>
      </c>
      <c r="J275" s="225" t="s">
        <v>19</v>
      </c>
      <c r="K275" s="225" t="s">
        <v>1032</v>
      </c>
      <c r="L275" s="225" t="s">
        <v>1033</v>
      </c>
      <c r="M275" s="225"/>
      <c r="N275" s="228" t="s">
        <v>1034</v>
      </c>
      <c r="O275" s="229">
        <v>0</v>
      </c>
      <c r="P275" s="225"/>
      <c r="Q275" s="225" t="s">
        <v>1035</v>
      </c>
      <c r="R275" s="227">
        <v>0</v>
      </c>
      <c r="S275" s="227" t="s">
        <v>1036</v>
      </c>
      <c r="T275" s="227">
        <v>0</v>
      </c>
      <c r="U275" s="252">
        <v>197.5</v>
      </c>
      <c r="V275" s="248">
        <v>41240</v>
      </c>
      <c r="W275" s="225"/>
      <c r="X275" s="225"/>
      <c r="Y275" s="225"/>
      <c r="Z275" s="225"/>
    </row>
    <row r="276" spans="1:26" s="143" customFormat="1" ht="13.2">
      <c r="A276" s="143" t="s">
        <v>1385</v>
      </c>
      <c r="B276" s="143" t="s">
        <v>1384</v>
      </c>
      <c r="C276" s="144">
        <v>42133</v>
      </c>
      <c r="D276" s="144">
        <v>42147</v>
      </c>
      <c r="E276" s="143" t="s">
        <v>1386</v>
      </c>
      <c r="G276" s="145"/>
      <c r="H276" s="143" t="s">
        <v>1387</v>
      </c>
      <c r="I276" s="143" t="s">
        <v>884</v>
      </c>
      <c r="J276" s="143" t="s">
        <v>180</v>
      </c>
      <c r="L276" s="143" t="s">
        <v>1388</v>
      </c>
      <c r="N276" s="253" t="s">
        <v>1389</v>
      </c>
      <c r="O276" s="148">
        <f>790+790+3*4*14</f>
        <v>1748</v>
      </c>
      <c r="Q276" s="143" t="s">
        <v>1390</v>
      </c>
      <c r="R276" s="145">
        <v>2</v>
      </c>
      <c r="S276" s="145" t="s">
        <v>1300</v>
      </c>
      <c r="T276" s="145">
        <v>3</v>
      </c>
      <c r="U276" s="236">
        <v>395</v>
      </c>
      <c r="V276" s="238">
        <v>42011</v>
      </c>
      <c r="W276" s="143" t="s">
        <v>1329</v>
      </c>
    </row>
    <row r="277" spans="1:26" s="143" customFormat="1" ht="13.2">
      <c r="A277" s="143" t="s">
        <v>1427</v>
      </c>
      <c r="B277" s="143" t="s">
        <v>1428</v>
      </c>
      <c r="C277" s="144">
        <v>42210</v>
      </c>
      <c r="D277" s="144">
        <v>42217</v>
      </c>
      <c r="E277" s="143" t="s">
        <v>1429</v>
      </c>
      <c r="G277" s="145"/>
      <c r="I277" s="143" t="s">
        <v>884</v>
      </c>
      <c r="J277" s="143" t="s">
        <v>180</v>
      </c>
      <c r="L277" s="143" t="s">
        <v>1430</v>
      </c>
      <c r="N277" s="253" t="s">
        <v>1431</v>
      </c>
      <c r="O277" s="148">
        <v>1990</v>
      </c>
      <c r="Q277" s="143" t="s">
        <v>1432</v>
      </c>
      <c r="R277" s="145">
        <v>1</v>
      </c>
      <c r="S277" s="145">
        <v>4</v>
      </c>
      <c r="T277" s="145">
        <v>1</v>
      </c>
      <c r="U277" s="236">
        <v>500</v>
      </c>
      <c r="V277" s="238">
        <v>42085</v>
      </c>
      <c r="X277" s="143" t="s">
        <v>1154</v>
      </c>
    </row>
    <row r="278" spans="1:26" s="143" customFormat="1" ht="13.2">
      <c r="A278" s="291" t="s">
        <v>1753</v>
      </c>
      <c r="B278" s="291" t="s">
        <v>297</v>
      </c>
      <c r="C278" s="292">
        <v>42973</v>
      </c>
      <c r="D278" s="292">
        <v>42980</v>
      </c>
      <c r="E278" s="291" t="s">
        <v>1754</v>
      </c>
      <c r="F278" s="291"/>
      <c r="G278" s="293" t="s">
        <v>1755</v>
      </c>
      <c r="H278" s="291" t="s">
        <v>1756</v>
      </c>
      <c r="I278" s="291" t="s">
        <v>884</v>
      </c>
      <c r="J278" s="291" t="s">
        <v>51</v>
      </c>
      <c r="K278" s="291"/>
      <c r="L278" s="291" t="s">
        <v>1757</v>
      </c>
      <c r="M278" s="291"/>
      <c r="N278" s="294" t="s">
        <v>1758</v>
      </c>
      <c r="O278" s="295">
        <f>1590 +70</f>
        <v>1660</v>
      </c>
      <c r="P278" s="291"/>
      <c r="Q278" s="291" t="s">
        <v>1759</v>
      </c>
      <c r="R278" s="293">
        <v>1</v>
      </c>
      <c r="S278" s="293">
        <v>4</v>
      </c>
      <c r="T278" s="293">
        <v>0</v>
      </c>
      <c r="U278" s="296">
        <v>397.5</v>
      </c>
      <c r="V278" s="298">
        <v>42862</v>
      </c>
      <c r="W278" s="291" t="s">
        <v>1760</v>
      </c>
      <c r="X278" s="291" t="s">
        <v>1154</v>
      </c>
      <c r="Y278" s="291"/>
      <c r="Z278" s="291"/>
    </row>
    <row r="279" spans="1:26" s="143" customFormat="1">
      <c r="A279" s="143" t="s">
        <v>640</v>
      </c>
      <c r="B279" s="143" t="s">
        <v>641</v>
      </c>
      <c r="C279" s="144">
        <v>40299</v>
      </c>
      <c r="D279" s="144">
        <v>40303</v>
      </c>
      <c r="G279" s="145"/>
      <c r="I279" s="143" t="s">
        <v>642</v>
      </c>
      <c r="J279" s="143" t="s">
        <v>19</v>
      </c>
      <c r="L279" s="173"/>
      <c r="N279" s="151"/>
      <c r="O279" s="148">
        <v>600</v>
      </c>
      <c r="R279" s="145">
        <v>1</v>
      </c>
      <c r="S279" s="145">
        <v>8</v>
      </c>
      <c r="T279" s="145">
        <v>0</v>
      </c>
      <c r="U279" s="203"/>
    </row>
    <row r="280" spans="1:26" s="143" customFormat="1">
      <c r="A280" s="143" t="s">
        <v>438</v>
      </c>
      <c r="B280" s="143" t="s">
        <v>439</v>
      </c>
      <c r="C280" s="144">
        <v>39599</v>
      </c>
      <c r="D280" s="144">
        <v>39606</v>
      </c>
      <c r="E280" s="143" t="s">
        <v>441</v>
      </c>
      <c r="G280" s="145">
        <v>5034</v>
      </c>
      <c r="H280" s="143" t="s">
        <v>442</v>
      </c>
      <c r="I280" s="143" t="s">
        <v>168</v>
      </c>
      <c r="J280" s="143" t="s">
        <v>51</v>
      </c>
      <c r="L280" s="143" t="s">
        <v>443</v>
      </c>
      <c r="N280" s="147" t="s">
        <v>437</v>
      </c>
      <c r="O280" s="148">
        <v>970</v>
      </c>
      <c r="R280" s="145">
        <v>1</v>
      </c>
      <c r="S280" s="145">
        <v>2</v>
      </c>
      <c r="T280" s="145"/>
      <c r="U280" s="149">
        <v>225</v>
      </c>
    </row>
    <row r="281" spans="1:26" s="143" customFormat="1">
      <c r="A281" s="143" t="s">
        <v>377</v>
      </c>
      <c r="B281" s="143" t="s">
        <v>378</v>
      </c>
      <c r="C281" s="144">
        <v>39634</v>
      </c>
      <c r="D281" s="144">
        <v>39648</v>
      </c>
      <c r="E281" s="143" t="s">
        <v>379</v>
      </c>
      <c r="F281" s="143">
        <v>1273</v>
      </c>
      <c r="G281" s="145">
        <v>1273</v>
      </c>
      <c r="H281" s="143" t="s">
        <v>380</v>
      </c>
      <c r="I281" s="143" t="s">
        <v>168</v>
      </c>
      <c r="J281" s="143" t="s">
        <v>19</v>
      </c>
      <c r="L281" s="143" t="s">
        <v>381</v>
      </c>
      <c r="N281" s="147" t="s">
        <v>382</v>
      </c>
      <c r="O281" s="148">
        <v>2800</v>
      </c>
      <c r="R281" s="145">
        <v>2</v>
      </c>
      <c r="S281" s="145">
        <v>4</v>
      </c>
      <c r="T281" s="145"/>
      <c r="U281" s="149">
        <v>700</v>
      </c>
    </row>
    <row r="282" spans="1:26" ht="12" customHeight="1" thickBot="1">
      <c r="A282" s="143" t="s">
        <v>453</v>
      </c>
      <c r="B282" s="143" t="s">
        <v>454</v>
      </c>
      <c r="C282" s="144">
        <v>39809</v>
      </c>
      <c r="D282" s="144">
        <v>39816</v>
      </c>
      <c r="E282" s="143" t="s">
        <v>455</v>
      </c>
      <c r="F282" s="143"/>
      <c r="G282" s="145" t="s">
        <v>457</v>
      </c>
      <c r="H282" s="143" t="s">
        <v>456</v>
      </c>
      <c r="I282" s="143" t="s">
        <v>168</v>
      </c>
      <c r="J282" s="143" t="s">
        <v>19</v>
      </c>
      <c r="K282" s="143" t="s">
        <v>458</v>
      </c>
      <c r="L282" s="143" t="s">
        <v>460</v>
      </c>
      <c r="M282" s="143" t="s">
        <v>459</v>
      </c>
      <c r="N282" s="147" t="s">
        <v>461</v>
      </c>
      <c r="O282" s="148">
        <v>1150</v>
      </c>
      <c r="P282" s="143"/>
      <c r="Q282" s="143"/>
      <c r="R282" s="145">
        <v>1</v>
      </c>
      <c r="S282" s="145">
        <v>2</v>
      </c>
      <c r="T282" s="145"/>
      <c r="U282" s="149">
        <v>285</v>
      </c>
      <c r="V282" s="143"/>
      <c r="W282" s="143"/>
      <c r="X282" s="143"/>
      <c r="Y282" s="143"/>
      <c r="Z282" s="143"/>
    </row>
    <row r="283" spans="1:26" ht="10.8" hidden="1" thickBot="1">
      <c r="N283" s="156"/>
      <c r="O283" s="157"/>
      <c r="U283" s="258"/>
      <c r="V283" s="261"/>
    </row>
    <row r="284" spans="1:26" ht="10.8" hidden="1" thickBot="1">
      <c r="N284" s="156"/>
      <c r="O284" s="157"/>
      <c r="U284" s="258"/>
      <c r="V284" s="261"/>
    </row>
    <row r="285" spans="1:26" ht="10.8" hidden="1" thickBot="1">
      <c r="N285" s="156"/>
      <c r="O285" s="157"/>
      <c r="U285" s="258"/>
      <c r="V285" s="261"/>
    </row>
    <row r="286" spans="1:26" ht="10.8" hidden="1" thickBot="1">
      <c r="N286" s="156"/>
      <c r="O286" s="157"/>
      <c r="U286" s="258"/>
      <c r="V286" s="263"/>
    </row>
    <row r="287" spans="1:26" ht="10.8" hidden="1" thickBot="1">
      <c r="N287" s="156"/>
      <c r="O287" s="157"/>
      <c r="U287" s="258"/>
      <c r="V287" s="261"/>
    </row>
    <row r="288" spans="1:26" ht="10.8" hidden="1" thickBot="1">
      <c r="A288" s="153"/>
      <c r="N288" s="156"/>
      <c r="O288" s="157"/>
      <c r="U288" s="158"/>
    </row>
    <row r="289" spans="1:22" ht="13.8" hidden="1" thickBot="1">
      <c r="H289" s="257"/>
      <c r="N289" s="156"/>
      <c r="O289" s="157"/>
      <c r="U289" s="258"/>
    </row>
    <row r="290" spans="1:22" ht="13.8" hidden="1" thickBot="1">
      <c r="A290" s="259"/>
      <c r="H290" s="194"/>
      <c r="N290" s="156"/>
      <c r="O290" s="157"/>
      <c r="U290" s="260"/>
      <c r="V290" s="261"/>
    </row>
    <row r="291" spans="1:22" ht="14.4" hidden="1" thickBot="1">
      <c r="A291" s="259"/>
      <c r="E291" s="262"/>
      <c r="N291" s="156"/>
      <c r="O291" s="157"/>
      <c r="U291" s="260"/>
      <c r="V291" s="263"/>
    </row>
    <row r="292" spans="1:22" ht="14.4" hidden="1" thickBot="1">
      <c r="A292" s="259"/>
      <c r="E292" s="262"/>
      <c r="N292" s="156"/>
      <c r="O292" s="157"/>
      <c r="U292" s="258"/>
      <c r="V292" s="263"/>
    </row>
    <row r="293" spans="1:22" ht="14.4" hidden="1" thickBot="1">
      <c r="A293" s="264"/>
      <c r="E293" s="262"/>
      <c r="N293" s="156"/>
      <c r="O293" s="157"/>
      <c r="U293" s="260"/>
      <c r="V293" s="263"/>
    </row>
    <row r="294" spans="1:22" ht="13.8" hidden="1" thickBot="1">
      <c r="A294" s="264"/>
      <c r="L294" s="265"/>
      <c r="N294" s="156"/>
      <c r="O294" s="157"/>
      <c r="U294" s="266"/>
      <c r="V294" s="263"/>
    </row>
    <row r="295" spans="1:22" ht="10.8" hidden="1" thickBot="1">
      <c r="A295" s="153"/>
      <c r="L295" s="265"/>
      <c r="N295" s="156"/>
      <c r="O295" s="157"/>
      <c r="U295" s="266"/>
      <c r="V295" s="263"/>
    </row>
    <row r="296" spans="1:22" ht="13.8" hidden="1" thickBot="1">
      <c r="E296" s="194"/>
      <c r="N296" s="267"/>
      <c r="O296" s="157"/>
      <c r="U296" s="268"/>
    </row>
    <row r="297" spans="1:22" ht="14.4" hidden="1" thickBot="1">
      <c r="E297" s="262"/>
      <c r="L297" s="269">
        <f>O285-U285</f>
        <v>0</v>
      </c>
      <c r="N297" s="267"/>
      <c r="O297" s="157"/>
      <c r="S297" s="140">
        <f>O287-U287</f>
        <v>0</v>
      </c>
      <c r="U297" s="260"/>
    </row>
    <row r="298" spans="1:22" ht="13.8" hidden="1" thickBot="1">
      <c r="E298" s="194"/>
      <c r="N298" s="156"/>
      <c r="O298" s="157"/>
      <c r="U298" s="260"/>
    </row>
    <row r="299" spans="1:22" ht="14.4" hidden="1" thickBot="1">
      <c r="E299" s="262"/>
      <c r="N299" s="156"/>
      <c r="O299" s="157"/>
      <c r="U299" s="278"/>
    </row>
    <row r="300" spans="1:22" ht="10.8" hidden="1" thickBot="1">
      <c r="N300" s="156"/>
      <c r="O300" s="157"/>
      <c r="U300" s="260"/>
    </row>
    <row r="301" spans="1:22" ht="10.8" hidden="1" thickBot="1">
      <c r="N301" s="156"/>
      <c r="O301" s="157"/>
      <c r="U301" s="260"/>
    </row>
    <row r="302" spans="1:22" ht="10.8" hidden="1" thickBot="1">
      <c r="N302" s="156"/>
      <c r="O302" s="157"/>
      <c r="U302" s="260"/>
    </row>
    <row r="303" spans="1:22" ht="13.8" hidden="1" thickBot="1">
      <c r="A303" s="136"/>
      <c r="B303" s="136"/>
      <c r="C303" s="137"/>
      <c r="D303" s="137"/>
      <c r="E303" s="194"/>
      <c r="F303" s="136"/>
      <c r="G303" s="138"/>
      <c r="H303" s="136"/>
      <c r="I303" s="136"/>
      <c r="J303" s="136"/>
      <c r="K303" s="136"/>
      <c r="L303" s="136"/>
      <c r="M303" s="136"/>
      <c r="N303" s="136"/>
      <c r="O303" s="136"/>
      <c r="P303" s="136"/>
      <c r="S303" s="138"/>
      <c r="T303" s="138"/>
      <c r="U303" s="235"/>
    </row>
    <row r="304" spans="1:22" ht="10.8" hidden="1" thickBot="1">
      <c r="A304" s="136"/>
      <c r="B304" s="161"/>
      <c r="C304" s="137"/>
      <c r="D304" s="137"/>
      <c r="F304" s="136"/>
      <c r="G304" s="138"/>
      <c r="H304" s="136"/>
      <c r="I304" s="136"/>
      <c r="J304" s="136"/>
      <c r="K304" s="136"/>
      <c r="L304" s="136"/>
      <c r="M304" s="136"/>
      <c r="N304" s="136"/>
      <c r="O304" s="161"/>
      <c r="P304" s="136"/>
      <c r="S304" s="138"/>
      <c r="T304" s="138"/>
      <c r="U304" s="235"/>
      <c r="V304" s="213"/>
    </row>
    <row r="305" spans="1:26" ht="10.8" thickBot="1">
      <c r="A305" s="167" t="s">
        <v>537</v>
      </c>
      <c r="B305" s="534" t="s">
        <v>538</v>
      </c>
      <c r="C305" s="144">
        <v>40083</v>
      </c>
      <c r="D305" s="562">
        <v>40090</v>
      </c>
      <c r="E305" s="534" t="s">
        <v>535</v>
      </c>
      <c r="F305" s="143"/>
      <c r="G305" s="145">
        <v>8427</v>
      </c>
      <c r="H305" s="143" t="s">
        <v>594</v>
      </c>
      <c r="I305" s="143" t="s">
        <v>168</v>
      </c>
      <c r="J305" s="143" t="s">
        <v>19</v>
      </c>
      <c r="K305" s="143" t="s">
        <v>540</v>
      </c>
      <c r="L305" s="173" t="s">
        <v>539</v>
      </c>
      <c r="M305" s="143"/>
      <c r="N305" s="147" t="s">
        <v>536</v>
      </c>
      <c r="O305" s="148">
        <v>970</v>
      </c>
      <c r="P305" s="143"/>
      <c r="Q305" s="143"/>
      <c r="R305" s="145">
        <v>1</v>
      </c>
      <c r="S305" s="145">
        <v>4</v>
      </c>
      <c r="T305" s="145">
        <v>1</v>
      </c>
      <c r="U305" s="590">
        <v>225</v>
      </c>
      <c r="V305" s="143"/>
      <c r="W305" s="143"/>
      <c r="X305" s="143"/>
      <c r="Y305" s="143"/>
      <c r="Z305" s="143"/>
    </row>
    <row r="306" spans="1:26" ht="10.8" thickBot="1">
      <c r="A306" s="207" t="s">
        <v>566</v>
      </c>
      <c r="B306" s="529" t="s">
        <v>567</v>
      </c>
      <c r="C306" s="546">
        <v>40130</v>
      </c>
      <c r="D306" s="558">
        <v>40137</v>
      </c>
      <c r="E306" s="530" t="s">
        <v>568</v>
      </c>
      <c r="F306" s="143"/>
      <c r="G306" s="145">
        <v>4148</v>
      </c>
      <c r="H306" s="143" t="s">
        <v>569</v>
      </c>
      <c r="I306" s="143" t="s">
        <v>168</v>
      </c>
      <c r="J306" s="143" t="s">
        <v>19</v>
      </c>
      <c r="K306" s="143" t="s">
        <v>570</v>
      </c>
      <c r="L306" s="143" t="s">
        <v>571</v>
      </c>
      <c r="M306" s="143"/>
      <c r="N306" s="147" t="s">
        <v>572</v>
      </c>
      <c r="O306" s="148">
        <v>760</v>
      </c>
      <c r="P306" s="143"/>
      <c r="Q306" s="143" t="s">
        <v>573</v>
      </c>
      <c r="R306" s="145">
        <v>1</v>
      </c>
      <c r="S306" s="145">
        <v>4</v>
      </c>
      <c r="T306" s="145"/>
      <c r="U306" s="590">
        <v>297.60000000000002</v>
      </c>
      <c r="V306" s="143"/>
      <c r="W306" s="143"/>
      <c r="X306" s="143"/>
      <c r="Y306" s="143"/>
      <c r="Z306" s="143"/>
    </row>
    <row r="307" spans="1:26" ht="10.8" thickBot="1">
      <c r="A307" s="143" t="s">
        <v>621</v>
      </c>
      <c r="B307" s="143" t="s">
        <v>622</v>
      </c>
      <c r="C307" s="144">
        <v>40376</v>
      </c>
      <c r="D307" s="558">
        <v>40390</v>
      </c>
      <c r="E307" s="530" t="s">
        <v>630</v>
      </c>
      <c r="F307" s="143"/>
      <c r="G307" s="145">
        <v>6005</v>
      </c>
      <c r="H307" s="143" t="s">
        <v>631</v>
      </c>
      <c r="I307" s="143" t="s">
        <v>168</v>
      </c>
      <c r="J307" s="143" t="s">
        <v>19</v>
      </c>
      <c r="K307" s="143" t="s">
        <v>624</v>
      </c>
      <c r="L307" s="143"/>
      <c r="M307" s="143"/>
      <c r="N307" s="151" t="s">
        <v>623</v>
      </c>
      <c r="O307" s="204">
        <f>3000+70</f>
        <v>3070</v>
      </c>
      <c r="P307" s="143"/>
      <c r="Q307" s="173" t="s">
        <v>629</v>
      </c>
      <c r="R307" s="145">
        <v>2</v>
      </c>
      <c r="S307" s="145">
        <v>4</v>
      </c>
      <c r="T307" s="145">
        <v>0</v>
      </c>
      <c r="U307" s="604">
        <v>750</v>
      </c>
      <c r="V307" s="143"/>
      <c r="W307" s="143"/>
      <c r="X307" s="143"/>
      <c r="Y307" s="143"/>
      <c r="Z307" s="143"/>
    </row>
    <row r="308" spans="1:26" ht="10.8" thickBot="1">
      <c r="A308" s="508" t="s">
        <v>632</v>
      </c>
      <c r="B308" s="531" t="s">
        <v>627</v>
      </c>
      <c r="C308" s="144">
        <v>40453</v>
      </c>
      <c r="D308" s="558">
        <v>40467</v>
      </c>
      <c r="E308" s="530" t="s">
        <v>633</v>
      </c>
      <c r="F308" s="143"/>
      <c r="G308" s="145" t="s">
        <v>634</v>
      </c>
      <c r="H308" s="143" t="s">
        <v>635</v>
      </c>
      <c r="I308" s="143" t="s">
        <v>168</v>
      </c>
      <c r="J308" s="143" t="s">
        <v>19</v>
      </c>
      <c r="K308" s="143" t="s">
        <v>636</v>
      </c>
      <c r="L308" s="143" t="s">
        <v>637</v>
      </c>
      <c r="M308" s="143"/>
      <c r="N308" s="147" t="s">
        <v>638</v>
      </c>
      <c r="O308" s="148">
        <v>1800</v>
      </c>
      <c r="P308" s="143"/>
      <c r="Q308" s="143" t="s">
        <v>639</v>
      </c>
      <c r="R308" s="145">
        <v>2</v>
      </c>
      <c r="S308" s="145">
        <v>2</v>
      </c>
      <c r="T308" s="145">
        <v>1</v>
      </c>
      <c r="U308" s="581">
        <v>450</v>
      </c>
      <c r="V308" s="143"/>
      <c r="W308" s="143"/>
      <c r="X308" s="143"/>
      <c r="Y308" s="143"/>
      <c r="Z308" s="143"/>
    </row>
    <row r="309" spans="1:26" ht="10.8" thickBot="1">
      <c r="A309" s="219" t="s">
        <v>745</v>
      </c>
      <c r="B309" s="219" t="s">
        <v>746</v>
      </c>
      <c r="C309" s="220">
        <v>40727</v>
      </c>
      <c r="D309" s="658">
        <v>40740</v>
      </c>
      <c r="E309" s="666" t="s">
        <v>747</v>
      </c>
      <c r="F309" s="219"/>
      <c r="G309" s="221" t="s">
        <v>748</v>
      </c>
      <c r="H309" s="219" t="s">
        <v>456</v>
      </c>
      <c r="I309" s="219" t="s">
        <v>168</v>
      </c>
      <c r="J309" s="219" t="s">
        <v>19</v>
      </c>
      <c r="K309" s="219" t="s">
        <v>750</v>
      </c>
      <c r="L309" s="219" t="s">
        <v>749</v>
      </c>
      <c r="M309" s="219"/>
      <c r="N309" s="232"/>
      <c r="O309" s="223">
        <v>2480</v>
      </c>
      <c r="P309" s="219"/>
      <c r="Q309" s="219" t="s">
        <v>779</v>
      </c>
      <c r="R309" s="221">
        <v>2</v>
      </c>
      <c r="S309" s="221">
        <v>3</v>
      </c>
      <c r="T309" s="221">
        <v>1</v>
      </c>
      <c r="U309" s="597">
        <f>O309/4</f>
        <v>620</v>
      </c>
      <c r="V309" s="219"/>
      <c r="W309" s="219"/>
      <c r="X309" s="219"/>
      <c r="Y309" s="219"/>
      <c r="Z309" s="219"/>
    </row>
    <row r="310" spans="1:26" ht="10.8" thickBot="1">
      <c r="A310" s="716" t="s">
        <v>692</v>
      </c>
      <c r="B310" s="728" t="s">
        <v>693</v>
      </c>
      <c r="C310" s="220">
        <v>40740</v>
      </c>
      <c r="D310" s="747">
        <v>40754</v>
      </c>
      <c r="E310" s="751" t="s">
        <v>694</v>
      </c>
      <c r="F310" s="219"/>
      <c r="G310" s="221">
        <v>4054</v>
      </c>
      <c r="H310" s="219" t="s">
        <v>695</v>
      </c>
      <c r="I310" s="219" t="s">
        <v>168</v>
      </c>
      <c r="J310" s="219" t="s">
        <v>19</v>
      </c>
      <c r="K310" s="219" t="s">
        <v>696</v>
      </c>
      <c r="L310" s="219" t="s">
        <v>697</v>
      </c>
      <c r="M310" s="219"/>
      <c r="N310" s="222"/>
      <c r="O310" s="223">
        <f>1790+2000+70</f>
        <v>3860</v>
      </c>
      <c r="P310" s="219"/>
      <c r="Q310" s="219" t="s">
        <v>699</v>
      </c>
      <c r="R310" s="221">
        <v>2</v>
      </c>
      <c r="S310" s="221">
        <v>5</v>
      </c>
      <c r="T310" s="221">
        <v>0</v>
      </c>
      <c r="U310" s="597">
        <f>3790/4</f>
        <v>947.5</v>
      </c>
      <c r="V310" s="219"/>
      <c r="W310" s="219"/>
      <c r="X310" s="219"/>
      <c r="Y310" s="219"/>
      <c r="Z310" s="219"/>
    </row>
    <row r="311" spans="1:26" ht="10.8" thickBot="1">
      <c r="A311" s="207" t="s">
        <v>722</v>
      </c>
      <c r="B311" s="529" t="s">
        <v>723</v>
      </c>
      <c r="C311" s="144">
        <v>40754</v>
      </c>
      <c r="D311" s="559">
        <v>40761</v>
      </c>
      <c r="E311" s="529" t="s">
        <v>724</v>
      </c>
      <c r="F311" s="143"/>
      <c r="G311" s="145">
        <v>8597</v>
      </c>
      <c r="H311" s="143" t="s">
        <v>725</v>
      </c>
      <c r="I311" s="143" t="s">
        <v>168</v>
      </c>
      <c r="J311" s="143" t="s">
        <v>19</v>
      </c>
      <c r="K311" s="143"/>
      <c r="L311" s="143" t="s">
        <v>726</v>
      </c>
      <c r="M311" s="143"/>
      <c r="N311" s="147" t="s">
        <v>727</v>
      </c>
      <c r="O311" s="148">
        <f>2000+70+20</f>
        <v>2090</v>
      </c>
      <c r="P311" s="143"/>
      <c r="Q311" s="143" t="s">
        <v>728</v>
      </c>
      <c r="R311" s="145">
        <v>1</v>
      </c>
      <c r="S311" s="145">
        <v>4</v>
      </c>
      <c r="T311" s="145">
        <v>1</v>
      </c>
      <c r="U311" s="581">
        <v>500</v>
      </c>
      <c r="V311" s="143"/>
      <c r="W311" s="143"/>
      <c r="X311" s="143"/>
      <c r="Y311" s="143"/>
      <c r="Z311" s="143"/>
    </row>
    <row r="312" spans="1:26" ht="11.55" customHeight="1">
      <c r="A312" s="225" t="s">
        <v>793</v>
      </c>
      <c r="B312" s="225" t="s">
        <v>794</v>
      </c>
      <c r="C312" s="226">
        <v>40852</v>
      </c>
      <c r="D312" s="226">
        <v>40859</v>
      </c>
      <c r="E312" s="225" t="s">
        <v>795</v>
      </c>
      <c r="F312" s="225"/>
      <c r="G312" s="227" t="s">
        <v>796</v>
      </c>
      <c r="H312" s="225" t="s">
        <v>797</v>
      </c>
      <c r="I312" s="225" t="s">
        <v>168</v>
      </c>
      <c r="J312" s="225" t="s">
        <v>19</v>
      </c>
      <c r="K312" s="225" t="s">
        <v>798</v>
      </c>
      <c r="L312" s="225" t="s">
        <v>799</v>
      </c>
      <c r="M312" s="225"/>
      <c r="N312" s="228" t="s">
        <v>800</v>
      </c>
      <c r="O312" s="229">
        <f>690</f>
        <v>690</v>
      </c>
      <c r="P312" s="225"/>
      <c r="Q312" s="225" t="s">
        <v>199</v>
      </c>
      <c r="R312" s="227">
        <v>1</v>
      </c>
      <c r="S312" s="227">
        <v>2</v>
      </c>
      <c r="T312" s="227"/>
      <c r="U312" s="229">
        <v>180</v>
      </c>
      <c r="V312" s="225"/>
      <c r="W312" s="225"/>
      <c r="X312" s="225"/>
      <c r="Y312" s="225"/>
      <c r="Z312" s="225"/>
    </row>
    <row r="313" spans="1:26" ht="11.55" customHeight="1">
      <c r="A313" s="143" t="s">
        <v>775</v>
      </c>
      <c r="B313" s="143" t="s">
        <v>829</v>
      </c>
      <c r="C313" s="144">
        <v>41097</v>
      </c>
      <c r="D313" s="144">
        <v>41118</v>
      </c>
      <c r="E313" s="143" t="s">
        <v>773</v>
      </c>
      <c r="F313" s="143"/>
      <c r="G313" s="145" t="s">
        <v>774</v>
      </c>
      <c r="H313" s="143" t="s">
        <v>772</v>
      </c>
      <c r="I313" s="143" t="s">
        <v>168</v>
      </c>
      <c r="J313" s="143" t="s">
        <v>180</v>
      </c>
      <c r="K313" s="143"/>
      <c r="L313" s="143" t="s">
        <v>777</v>
      </c>
      <c r="M313" s="143"/>
      <c r="N313" s="147" t="s">
        <v>776</v>
      </c>
      <c r="O313" s="148">
        <f>1390+1790+2000</f>
        <v>5180</v>
      </c>
      <c r="P313" s="143"/>
      <c r="Q313" s="143" t="s">
        <v>778</v>
      </c>
      <c r="R313" s="145">
        <v>3</v>
      </c>
      <c r="S313" s="145">
        <v>6</v>
      </c>
      <c r="T313" s="145"/>
      <c r="U313" s="586">
        <f>O313/4</f>
        <v>1295</v>
      </c>
      <c r="V313" s="143"/>
      <c r="W313" s="143"/>
      <c r="X313" s="143"/>
      <c r="Y313" s="143"/>
      <c r="Z313" s="143"/>
    </row>
    <row r="314" spans="1:26" ht="11.55" customHeight="1">
      <c r="A314" s="143" t="s">
        <v>942</v>
      </c>
      <c r="B314" s="143" t="s">
        <v>943</v>
      </c>
      <c r="C314" s="144">
        <v>41153</v>
      </c>
      <c r="D314" s="144">
        <v>41160</v>
      </c>
      <c r="E314" s="241"/>
      <c r="F314" s="143"/>
      <c r="G314" s="145"/>
      <c r="H314" s="143"/>
      <c r="I314" s="143" t="s">
        <v>944</v>
      </c>
      <c r="J314" s="143" t="s">
        <v>19</v>
      </c>
      <c r="K314" s="143"/>
      <c r="L314" s="143"/>
      <c r="M314" s="143"/>
      <c r="N314" s="147" t="s">
        <v>990</v>
      </c>
      <c r="O314" s="148">
        <f>1290+70+5*3*7</f>
        <v>1465</v>
      </c>
      <c r="P314" s="143"/>
      <c r="Q314" s="143" t="s">
        <v>970</v>
      </c>
      <c r="R314" s="145">
        <v>1</v>
      </c>
      <c r="S314" s="145">
        <v>4</v>
      </c>
      <c r="T314" s="145">
        <v>5</v>
      </c>
      <c r="U314" s="586">
        <v>312.5</v>
      </c>
      <c r="V314" s="238"/>
      <c r="W314" s="143"/>
      <c r="X314" s="143"/>
      <c r="Y314" s="143"/>
      <c r="Z314" s="143"/>
    </row>
    <row r="315" spans="1:26" ht="11.55" customHeight="1">
      <c r="A315" s="143" t="s">
        <v>1166</v>
      </c>
      <c r="B315" s="143" t="s">
        <v>1167</v>
      </c>
      <c r="C315" s="144">
        <v>41548</v>
      </c>
      <c r="D315" s="144">
        <v>41552</v>
      </c>
      <c r="E315" s="143"/>
      <c r="F315" s="143"/>
      <c r="G315" s="145"/>
      <c r="H315" s="143"/>
      <c r="I315" s="143" t="s">
        <v>168</v>
      </c>
      <c r="J315" s="143" t="s">
        <v>19</v>
      </c>
      <c r="K315" s="143"/>
      <c r="L315" s="143"/>
      <c r="M315" s="143"/>
      <c r="N315" s="147" t="s">
        <v>1168</v>
      </c>
      <c r="O315" s="148">
        <f>500+40</f>
        <v>540</v>
      </c>
      <c r="P315" s="143"/>
      <c r="Q315" s="143" t="s">
        <v>1025</v>
      </c>
      <c r="R315" s="145">
        <v>1</v>
      </c>
      <c r="S315" s="145" t="s">
        <v>1025</v>
      </c>
      <c r="T315" s="145">
        <v>1</v>
      </c>
      <c r="U315" s="586">
        <v>0</v>
      </c>
      <c r="V315" s="240">
        <v>41546</v>
      </c>
      <c r="W315" s="143" t="s">
        <v>1169</v>
      </c>
      <c r="X315" s="143"/>
      <c r="Y315" s="143"/>
      <c r="Z315" s="143"/>
    </row>
    <row r="316" spans="1:26" ht="11.55" customHeight="1">
      <c r="A316" s="143" t="s">
        <v>1269</v>
      </c>
      <c r="B316" s="143" t="s">
        <v>264</v>
      </c>
      <c r="C316" s="144">
        <v>41916</v>
      </c>
      <c r="D316" s="144">
        <v>41923</v>
      </c>
      <c r="E316" s="143" t="s">
        <v>1270</v>
      </c>
      <c r="F316" s="143"/>
      <c r="G316" s="145">
        <v>5712</v>
      </c>
      <c r="H316" s="143" t="s">
        <v>1271</v>
      </c>
      <c r="I316" s="143" t="s">
        <v>168</v>
      </c>
      <c r="J316" s="143" t="s">
        <v>51</v>
      </c>
      <c r="K316" s="143" t="s">
        <v>1273</v>
      </c>
      <c r="L316" s="143" t="s">
        <v>1272</v>
      </c>
      <c r="M316" s="143"/>
      <c r="N316" s="147" t="s">
        <v>1274</v>
      </c>
      <c r="O316" s="148">
        <f>890+70</f>
        <v>960</v>
      </c>
      <c r="P316" s="143"/>
      <c r="Q316" s="143" t="s">
        <v>1275</v>
      </c>
      <c r="R316" s="145">
        <v>1</v>
      </c>
      <c r="S316" s="145">
        <v>5</v>
      </c>
      <c r="T316" s="145">
        <v>0</v>
      </c>
      <c r="U316" s="586">
        <v>960</v>
      </c>
      <c r="V316" s="238"/>
      <c r="W316" s="143"/>
      <c r="X316" s="143"/>
      <c r="Y316" s="143"/>
      <c r="Z316" s="143"/>
    </row>
    <row r="317" spans="1:26" ht="11.55" customHeight="1">
      <c r="A317" s="143" t="s">
        <v>1294</v>
      </c>
      <c r="B317" s="143" t="s">
        <v>1293</v>
      </c>
      <c r="C317" s="144">
        <v>41951</v>
      </c>
      <c r="D317" s="144">
        <v>41866</v>
      </c>
      <c r="E317" s="143" t="s">
        <v>1295</v>
      </c>
      <c r="F317" s="143"/>
      <c r="G317" s="145" t="s">
        <v>1296</v>
      </c>
      <c r="H317" s="143" t="s">
        <v>1297</v>
      </c>
      <c r="I317" s="143" t="s">
        <v>168</v>
      </c>
      <c r="J317" s="143" t="s">
        <v>51</v>
      </c>
      <c r="K317" s="143"/>
      <c r="L317" s="143" t="s">
        <v>1298</v>
      </c>
      <c r="M317" s="143"/>
      <c r="N317" s="253" t="s">
        <v>1299</v>
      </c>
      <c r="O317" s="148">
        <f>790+60</f>
        <v>850</v>
      </c>
      <c r="P317" s="143"/>
      <c r="Q317" s="143" t="s">
        <v>1300</v>
      </c>
      <c r="R317" s="145">
        <v>1</v>
      </c>
      <c r="S317" s="145">
        <v>2</v>
      </c>
      <c r="T317" s="145">
        <v>3</v>
      </c>
      <c r="U317" s="586"/>
      <c r="V317" s="238">
        <v>41917</v>
      </c>
      <c r="W317" s="143" t="s">
        <v>1301</v>
      </c>
      <c r="X317" s="143" t="s">
        <v>1154</v>
      </c>
      <c r="Y317" s="143"/>
      <c r="Z317" s="143"/>
    </row>
    <row r="318" spans="1:26" ht="11.55" customHeight="1">
      <c r="A318" s="271" t="s">
        <v>775</v>
      </c>
      <c r="B318" s="271" t="s">
        <v>829</v>
      </c>
      <c r="C318" s="272">
        <v>41916</v>
      </c>
      <c r="D318" s="272">
        <v>41930</v>
      </c>
      <c r="E318" s="271" t="s">
        <v>773</v>
      </c>
      <c r="F318" s="271"/>
      <c r="G318" s="273" t="s">
        <v>774</v>
      </c>
      <c r="H318" s="271" t="s">
        <v>772</v>
      </c>
      <c r="I318" s="271" t="s">
        <v>168</v>
      </c>
      <c r="J318" s="271" t="s">
        <v>51</v>
      </c>
      <c r="K318" s="271" t="s">
        <v>1171</v>
      </c>
      <c r="L318" s="271" t="s">
        <v>777</v>
      </c>
      <c r="M318" s="271"/>
      <c r="N318" s="274" t="s">
        <v>776</v>
      </c>
      <c r="O318" s="275">
        <v>0</v>
      </c>
      <c r="P318" s="271"/>
      <c r="Q318" s="271" t="s">
        <v>1184</v>
      </c>
      <c r="R318" s="273">
        <v>0</v>
      </c>
      <c r="S318" s="273">
        <v>5</v>
      </c>
      <c r="T318" s="273"/>
      <c r="U318" s="673">
        <v>420</v>
      </c>
      <c r="V318" s="276">
        <v>41542</v>
      </c>
      <c r="W318" s="271" t="s">
        <v>1170</v>
      </c>
      <c r="X318" s="271" t="s">
        <v>1154</v>
      </c>
      <c r="Y318" s="271"/>
      <c r="Z318" s="271"/>
    </row>
    <row r="319" spans="1:26" ht="11.55" customHeight="1">
      <c r="A319" s="291" t="s">
        <v>1501</v>
      </c>
      <c r="B319" s="291" t="s">
        <v>1502</v>
      </c>
      <c r="C319" s="292">
        <v>42483</v>
      </c>
      <c r="D319" s="292">
        <v>42497</v>
      </c>
      <c r="E319" s="291" t="s">
        <v>1503</v>
      </c>
      <c r="F319" s="291"/>
      <c r="G319" s="293" t="s">
        <v>1504</v>
      </c>
      <c r="H319" s="291" t="s">
        <v>456</v>
      </c>
      <c r="I319" s="291" t="s">
        <v>168</v>
      </c>
      <c r="J319" s="291" t="s">
        <v>51</v>
      </c>
      <c r="K319" s="291"/>
      <c r="L319" s="291" t="s">
        <v>1505</v>
      </c>
      <c r="M319" s="291"/>
      <c r="N319" s="294" t="s">
        <v>1506</v>
      </c>
      <c r="O319" s="295">
        <f>790*2+70+80</f>
        <v>1730</v>
      </c>
      <c r="P319" s="291"/>
      <c r="Q319" s="291" t="s">
        <v>1507</v>
      </c>
      <c r="R319" s="293">
        <v>2</v>
      </c>
      <c r="S319" s="293" t="s">
        <v>1507</v>
      </c>
      <c r="T319" s="293">
        <v>2</v>
      </c>
      <c r="U319" s="591">
        <v>1580</v>
      </c>
      <c r="V319" s="297">
        <v>42379</v>
      </c>
      <c r="W319" s="298" t="s">
        <v>1525</v>
      </c>
      <c r="X319" s="291" t="s">
        <v>1154</v>
      </c>
      <c r="Y319" s="291"/>
      <c r="Z319" s="291"/>
    </row>
    <row r="320" spans="1:26" ht="11.55" customHeight="1">
      <c r="A320" s="291" t="s">
        <v>1478</v>
      </c>
      <c r="B320" s="291" t="s">
        <v>528</v>
      </c>
      <c r="C320" s="292">
        <v>42497</v>
      </c>
      <c r="D320" s="292">
        <v>42510</v>
      </c>
      <c r="E320" s="291" t="s">
        <v>1479</v>
      </c>
      <c r="F320" s="291"/>
      <c r="G320" s="293" t="s">
        <v>1480</v>
      </c>
      <c r="H320" s="291" t="s">
        <v>1481</v>
      </c>
      <c r="I320" s="291" t="s">
        <v>168</v>
      </c>
      <c r="J320" s="291" t="s">
        <v>51</v>
      </c>
      <c r="K320" s="291" t="s">
        <v>1482</v>
      </c>
      <c r="L320" s="291" t="s">
        <v>1483</v>
      </c>
      <c r="M320" s="291"/>
      <c r="N320" s="294" t="s">
        <v>1484</v>
      </c>
      <c r="O320" s="295">
        <f>790+890+70+42</f>
        <v>1792</v>
      </c>
      <c r="P320" s="291"/>
      <c r="Q320" s="291"/>
      <c r="R320" s="293">
        <v>2</v>
      </c>
      <c r="S320" s="293" t="s">
        <v>1025</v>
      </c>
      <c r="T320" s="293">
        <v>1</v>
      </c>
      <c r="U320" s="591">
        <v>420</v>
      </c>
      <c r="V320" s="298"/>
      <c r="W320" s="291"/>
      <c r="X320" s="291"/>
      <c r="Y320" s="291"/>
      <c r="Z320" s="291"/>
    </row>
    <row r="321" spans="1:26" ht="11.55" customHeight="1">
      <c r="A321" s="291" t="s">
        <v>775</v>
      </c>
      <c r="B321" s="291" t="s">
        <v>829</v>
      </c>
      <c r="C321" s="292">
        <v>42924</v>
      </c>
      <c r="D321" s="292">
        <v>42938</v>
      </c>
      <c r="E321" s="291" t="s">
        <v>773</v>
      </c>
      <c r="F321" s="291"/>
      <c r="G321" s="293" t="s">
        <v>774</v>
      </c>
      <c r="H321" s="291" t="s">
        <v>772</v>
      </c>
      <c r="I321" s="291" t="s">
        <v>168</v>
      </c>
      <c r="J321" s="291" t="s">
        <v>180</v>
      </c>
      <c r="K321" s="291" t="s">
        <v>1578</v>
      </c>
      <c r="L321" s="291" t="s">
        <v>777</v>
      </c>
      <c r="M321" s="291"/>
      <c r="N321" s="294" t="s">
        <v>1577</v>
      </c>
      <c r="O321" s="295">
        <f>945*4</f>
        <v>3780</v>
      </c>
      <c r="P321" s="291"/>
      <c r="Q321" s="291" t="s">
        <v>1579</v>
      </c>
      <c r="R321" s="293">
        <v>2</v>
      </c>
      <c r="S321" s="293">
        <v>5</v>
      </c>
      <c r="T321" s="293"/>
      <c r="U321" s="591">
        <f>O321/4</f>
        <v>945</v>
      </c>
      <c r="V321" s="291" t="s">
        <v>1170</v>
      </c>
      <c r="W321" s="291"/>
      <c r="X321" s="291"/>
      <c r="Y321" s="291"/>
      <c r="Z321" s="291"/>
    </row>
    <row r="322" spans="1:26">
      <c r="A322" s="115" t="s">
        <v>1792</v>
      </c>
      <c r="B322" s="115" t="s">
        <v>1793</v>
      </c>
      <c r="C322" s="116">
        <v>43253</v>
      </c>
      <c r="D322" s="116">
        <v>43274</v>
      </c>
      <c r="E322" s="115" t="s">
        <v>1794</v>
      </c>
      <c r="F322" s="115"/>
      <c r="G322" s="361" t="s">
        <v>1795</v>
      </c>
      <c r="H322" s="115" t="s">
        <v>1796</v>
      </c>
      <c r="I322" s="115" t="s">
        <v>168</v>
      </c>
      <c r="J322" s="115" t="s">
        <v>51</v>
      </c>
      <c r="K322" s="115"/>
      <c r="L322" s="115" t="s">
        <v>1797</v>
      </c>
      <c r="M322" s="115"/>
      <c r="N322" s="128" t="s">
        <v>1798</v>
      </c>
      <c r="O322" s="118">
        <f>1190*3</f>
        <v>3570</v>
      </c>
      <c r="P322" s="115"/>
      <c r="Q322" s="115" t="s">
        <v>1933</v>
      </c>
      <c r="R322" s="361">
        <v>3</v>
      </c>
      <c r="S322" s="361">
        <v>4</v>
      </c>
      <c r="T322" s="361">
        <v>0</v>
      </c>
      <c r="U322" s="119">
        <v>892.5</v>
      </c>
      <c r="V322" s="120">
        <v>42979</v>
      </c>
      <c r="W322" s="115"/>
      <c r="X322" s="115" t="s">
        <v>1154</v>
      </c>
      <c r="Y322" s="115"/>
      <c r="Z322" s="115"/>
    </row>
    <row r="323" spans="1:26" s="143" customFormat="1">
      <c r="A323" s="355" t="s">
        <v>1884</v>
      </c>
      <c r="B323" s="355" t="s">
        <v>256</v>
      </c>
      <c r="C323" s="357">
        <v>43288</v>
      </c>
      <c r="D323" s="357">
        <v>43302</v>
      </c>
      <c r="E323" s="355" t="s">
        <v>1885</v>
      </c>
      <c r="F323" s="355"/>
      <c r="G323" s="358" t="s">
        <v>1886</v>
      </c>
      <c r="H323" s="355" t="s">
        <v>1887</v>
      </c>
      <c r="I323" s="355" t="s">
        <v>168</v>
      </c>
      <c r="J323" s="355" t="s">
        <v>19</v>
      </c>
      <c r="K323" s="355" t="s">
        <v>1889</v>
      </c>
      <c r="L323" s="355" t="s">
        <v>1888</v>
      </c>
      <c r="M323" s="355"/>
      <c r="N323" s="365" t="s">
        <v>1890</v>
      </c>
      <c r="O323" s="359">
        <v>3380</v>
      </c>
      <c r="P323" s="355"/>
      <c r="Q323" s="355" t="s">
        <v>1891</v>
      </c>
      <c r="R323" s="358">
        <v>2</v>
      </c>
      <c r="S323" s="358">
        <v>4</v>
      </c>
      <c r="T323" s="358">
        <v>2</v>
      </c>
      <c r="U323" s="356" t="s">
        <v>1832</v>
      </c>
      <c r="V323" s="360">
        <v>43092</v>
      </c>
      <c r="W323" s="355" t="s">
        <v>1769</v>
      </c>
      <c r="X323" s="355" t="s">
        <v>1154</v>
      </c>
      <c r="Y323" s="355"/>
      <c r="Z323" s="355"/>
    </row>
    <row r="324" spans="1:26" s="291" customFormat="1">
      <c r="A324" s="392" t="s">
        <v>1913</v>
      </c>
      <c r="B324" s="392" t="s">
        <v>304</v>
      </c>
      <c r="C324" s="393">
        <v>43372</v>
      </c>
      <c r="D324" s="393">
        <v>43379</v>
      </c>
      <c r="E324" s="392" t="s">
        <v>1919</v>
      </c>
      <c r="F324" s="392"/>
      <c r="G324" s="394" t="s">
        <v>1914</v>
      </c>
      <c r="H324" s="395" t="s">
        <v>1918</v>
      </c>
      <c r="I324" s="392" t="s">
        <v>168</v>
      </c>
      <c r="J324" s="392" t="s">
        <v>19</v>
      </c>
      <c r="K324" s="396"/>
      <c r="L324" s="396" t="s">
        <v>1915</v>
      </c>
      <c r="M324" s="392"/>
      <c r="N324" s="397" t="s">
        <v>1916</v>
      </c>
      <c r="O324" s="398"/>
      <c r="P324" s="392"/>
      <c r="Q324" s="392" t="s">
        <v>1917</v>
      </c>
      <c r="R324" s="394"/>
      <c r="S324" s="394">
        <v>2</v>
      </c>
      <c r="T324" s="394">
        <v>4</v>
      </c>
      <c r="U324" s="399" t="s">
        <v>1832</v>
      </c>
      <c r="V324" s="400">
        <v>43168</v>
      </c>
      <c r="W324" s="392" t="s">
        <v>1052</v>
      </c>
      <c r="X324" s="392" t="s">
        <v>1154</v>
      </c>
      <c r="Y324" s="392" t="s">
        <v>1921</v>
      </c>
      <c r="Z324" s="392"/>
    </row>
    <row r="325" spans="1:26" s="143" customFormat="1" ht="13.2">
      <c r="A325" s="115" t="s">
        <v>2279</v>
      </c>
      <c r="B325" s="115" t="s">
        <v>438</v>
      </c>
      <c r="C325" s="116">
        <v>43575</v>
      </c>
      <c r="D325" s="116">
        <v>43582</v>
      </c>
      <c r="E325" s="115" t="s">
        <v>2280</v>
      </c>
      <c r="F325" s="115"/>
      <c r="G325" s="361" t="s">
        <v>2281</v>
      </c>
      <c r="H325" s="364" t="s">
        <v>2282</v>
      </c>
      <c r="I325" s="115" t="s">
        <v>168</v>
      </c>
      <c r="J325" s="115" t="s">
        <v>19</v>
      </c>
      <c r="K325" s="115"/>
      <c r="L325" s="124" t="s">
        <v>2283</v>
      </c>
      <c r="M325" s="115"/>
      <c r="N325" s="121" t="s">
        <v>2284</v>
      </c>
      <c r="O325" s="118">
        <v>790</v>
      </c>
      <c r="P325" s="115"/>
      <c r="Q325" s="115" t="s">
        <v>2285</v>
      </c>
      <c r="R325" s="361">
        <v>1</v>
      </c>
      <c r="S325" s="361">
        <v>4</v>
      </c>
      <c r="T325" s="361">
        <v>1</v>
      </c>
      <c r="U325" s="119">
        <v>390</v>
      </c>
      <c r="V325" s="120"/>
      <c r="W325" s="115"/>
      <c r="X325" s="115"/>
      <c r="Y325" s="115"/>
      <c r="Z325" s="115"/>
    </row>
    <row r="326" spans="1:26" s="291" customFormat="1" ht="11.25" customHeight="1">
      <c r="A326" s="355" t="s">
        <v>2271</v>
      </c>
      <c r="B326" s="355" t="s">
        <v>2286</v>
      </c>
      <c r="C326" s="357">
        <v>43596</v>
      </c>
      <c r="D326" s="357">
        <v>43603</v>
      </c>
      <c r="E326" s="355" t="s">
        <v>2272</v>
      </c>
      <c r="F326" s="355"/>
      <c r="G326" s="358" t="s">
        <v>2273</v>
      </c>
      <c r="H326" s="367" t="s">
        <v>2274</v>
      </c>
      <c r="I326" s="355" t="s">
        <v>168</v>
      </c>
      <c r="J326" s="355" t="s">
        <v>1023</v>
      </c>
      <c r="K326" s="355" t="s">
        <v>2276</v>
      </c>
      <c r="L326" s="368" t="s">
        <v>2275</v>
      </c>
      <c r="M326" s="355"/>
      <c r="N326" s="401" t="s">
        <v>2277</v>
      </c>
      <c r="O326" s="359">
        <v>890</v>
      </c>
      <c r="P326" s="355"/>
      <c r="Q326" s="355" t="s">
        <v>2278</v>
      </c>
      <c r="R326" s="358">
        <v>1</v>
      </c>
      <c r="S326" s="358">
        <v>3</v>
      </c>
      <c r="T326" s="358">
        <v>2</v>
      </c>
      <c r="U326" s="356" t="s">
        <v>1832</v>
      </c>
      <c r="V326" s="360">
        <v>43561</v>
      </c>
      <c r="W326" s="355"/>
      <c r="X326" s="355"/>
      <c r="Y326" s="355"/>
      <c r="Z326" s="355"/>
    </row>
    <row r="327" spans="1:26" s="291" customFormat="1" ht="13.2">
      <c r="A327" s="115" t="s">
        <v>1973</v>
      </c>
      <c r="B327" s="115" t="s">
        <v>1972</v>
      </c>
      <c r="C327" s="116">
        <v>43673</v>
      </c>
      <c r="D327" s="116">
        <v>43694</v>
      </c>
      <c r="E327" s="115" t="s">
        <v>1975</v>
      </c>
      <c r="F327" s="115"/>
      <c r="G327" s="361" t="s">
        <v>1976</v>
      </c>
      <c r="H327" s="115" t="s">
        <v>1977</v>
      </c>
      <c r="I327" s="115" t="s">
        <v>168</v>
      </c>
      <c r="J327" s="115" t="s">
        <v>1023</v>
      </c>
      <c r="K327" s="115"/>
      <c r="L327" s="115" t="s">
        <v>1978</v>
      </c>
      <c r="M327" s="115"/>
      <c r="N327" s="121" t="s">
        <v>1974</v>
      </c>
      <c r="O327" s="118">
        <f>1990*3+750+250</f>
        <v>6970</v>
      </c>
      <c r="P327" s="115"/>
      <c r="Q327" s="115" t="s">
        <v>2327</v>
      </c>
      <c r="R327" s="361">
        <v>3</v>
      </c>
      <c r="S327" s="361">
        <v>4</v>
      </c>
      <c r="T327" s="361">
        <v>2</v>
      </c>
      <c r="U327" s="119" t="s">
        <v>2027</v>
      </c>
      <c r="V327" s="120"/>
      <c r="W327" s="115"/>
      <c r="X327" s="115"/>
      <c r="Y327" s="115"/>
      <c r="Z327" s="115"/>
    </row>
    <row r="328" spans="1:26" s="291" customFormat="1" ht="13.2">
      <c r="A328" s="115" t="s">
        <v>2446</v>
      </c>
      <c r="B328" s="115" t="s">
        <v>2447</v>
      </c>
      <c r="C328" s="116">
        <v>44016</v>
      </c>
      <c r="D328" s="116">
        <v>44030</v>
      </c>
      <c r="E328" s="115" t="s">
        <v>2448</v>
      </c>
      <c r="F328" s="115"/>
      <c r="G328" s="361" t="s">
        <v>2449</v>
      </c>
      <c r="H328" s="364" t="s">
        <v>2450</v>
      </c>
      <c r="I328" s="115" t="s">
        <v>168</v>
      </c>
      <c r="J328" s="115" t="s">
        <v>51</v>
      </c>
      <c r="K328" s="115"/>
      <c r="L328" s="124" t="s">
        <v>2451</v>
      </c>
      <c r="M328" s="115"/>
      <c r="N328" s="121" t="s">
        <v>2452</v>
      </c>
      <c r="O328" s="118">
        <f>2*1990</f>
        <v>3980</v>
      </c>
      <c r="P328" s="115"/>
      <c r="Q328" s="115" t="s">
        <v>2250</v>
      </c>
      <c r="R328" s="682">
        <v>2</v>
      </c>
      <c r="S328" s="361">
        <v>6</v>
      </c>
      <c r="T328" s="361">
        <v>2</v>
      </c>
      <c r="U328" s="119"/>
      <c r="V328" s="120">
        <v>43842</v>
      </c>
      <c r="W328" s="115" t="s">
        <v>1338</v>
      </c>
      <c r="X328" s="115" t="s">
        <v>1154</v>
      </c>
      <c r="Y328" s="115"/>
      <c r="Z328" s="115"/>
    </row>
    <row r="329" spans="1:26" s="291" customFormat="1" ht="13.2">
      <c r="A329" s="115" t="s">
        <v>2513</v>
      </c>
      <c r="B329" s="115" t="s">
        <v>2512</v>
      </c>
      <c r="C329" s="116">
        <v>44044</v>
      </c>
      <c r="D329" s="116">
        <v>44058</v>
      </c>
      <c r="E329" s="115" t="s">
        <v>2514</v>
      </c>
      <c r="F329" s="115"/>
      <c r="G329" s="361"/>
      <c r="H329" s="364"/>
      <c r="I329" s="115" t="s">
        <v>168</v>
      </c>
      <c r="J329" s="115" t="s">
        <v>51</v>
      </c>
      <c r="K329" s="115"/>
      <c r="L329" s="124" t="s">
        <v>2515</v>
      </c>
      <c r="M329" s="115"/>
      <c r="N329" s="121" t="s">
        <v>2516</v>
      </c>
      <c r="O329" s="118">
        <f>1990*2</f>
        <v>3980</v>
      </c>
      <c r="P329" s="115"/>
      <c r="Q329" s="115" t="s">
        <v>2502</v>
      </c>
      <c r="R329" s="682">
        <v>2</v>
      </c>
      <c r="S329" s="361">
        <v>4</v>
      </c>
      <c r="T329" s="361">
        <v>1</v>
      </c>
      <c r="U329" s="119" t="s">
        <v>2528</v>
      </c>
      <c r="V329" s="120"/>
      <c r="W329" s="115" t="s">
        <v>1338</v>
      </c>
      <c r="X329" s="115" t="s">
        <v>1154</v>
      </c>
      <c r="Y329" s="115"/>
      <c r="Z329" s="115"/>
    </row>
    <row r="330" spans="1:26" s="291" customFormat="1" ht="13.2">
      <c r="A330" s="689" t="s">
        <v>2416</v>
      </c>
      <c r="B330" s="689" t="s">
        <v>2417</v>
      </c>
      <c r="C330" s="690">
        <v>44065</v>
      </c>
      <c r="D330" s="690">
        <v>44086</v>
      </c>
      <c r="E330" s="689" t="s">
        <v>2418</v>
      </c>
      <c r="F330" s="689"/>
      <c r="G330" s="691" t="s">
        <v>2419</v>
      </c>
      <c r="H330" s="692" t="s">
        <v>2420</v>
      </c>
      <c r="I330" s="689" t="s">
        <v>168</v>
      </c>
      <c r="J330" s="689" t="s">
        <v>1023</v>
      </c>
      <c r="K330" s="689" t="s">
        <v>2421</v>
      </c>
      <c r="L330" s="693" t="s">
        <v>2422</v>
      </c>
      <c r="M330" s="689"/>
      <c r="N330" s="433" t="s">
        <v>2423</v>
      </c>
      <c r="O330" s="694">
        <v>5570</v>
      </c>
      <c r="P330" s="689"/>
      <c r="Q330" s="689" t="s">
        <v>2424</v>
      </c>
      <c r="R330" s="696">
        <v>3</v>
      </c>
      <c r="S330" s="691">
        <v>2</v>
      </c>
      <c r="T330" s="691">
        <v>1</v>
      </c>
      <c r="U330" s="753">
        <v>1393</v>
      </c>
      <c r="V330" s="695">
        <v>43810</v>
      </c>
      <c r="W330" s="689" t="s">
        <v>1769</v>
      </c>
      <c r="X330" s="689" t="s">
        <v>1154</v>
      </c>
      <c r="Y330" s="689"/>
      <c r="Z330" s="689"/>
    </row>
    <row r="331" spans="1:26" s="291" customFormat="1">
      <c r="A331" s="512" t="s">
        <v>355</v>
      </c>
      <c r="B331" s="139" t="s">
        <v>356</v>
      </c>
      <c r="C331" s="352">
        <v>38605</v>
      </c>
      <c r="D331" s="352">
        <v>38619</v>
      </c>
      <c r="E331" s="139"/>
      <c r="F331" s="139"/>
      <c r="G331" s="140"/>
      <c r="H331" s="139"/>
      <c r="I331" s="139" t="s">
        <v>168</v>
      </c>
      <c r="J331" s="139" t="s">
        <v>19</v>
      </c>
      <c r="K331" s="139"/>
      <c r="L331" s="139"/>
      <c r="M331" s="139"/>
      <c r="N331" s="156"/>
      <c r="O331" s="157">
        <f>520*2</f>
        <v>1040</v>
      </c>
      <c r="P331" s="139"/>
      <c r="Q331" s="139"/>
      <c r="R331" s="140">
        <v>2</v>
      </c>
      <c r="S331" s="140">
        <v>6</v>
      </c>
      <c r="T331" s="140"/>
      <c r="U331" s="185"/>
      <c r="V331" s="139"/>
      <c r="W331" s="139"/>
      <c r="X331" s="139"/>
      <c r="Y331" s="139"/>
      <c r="Z331" s="139"/>
    </row>
    <row r="332" spans="1:26" s="291" customFormat="1" ht="13.2" hidden="1">
      <c r="C332" s="292"/>
      <c r="D332" s="292"/>
      <c r="G332" s="293"/>
      <c r="N332" s="294"/>
      <c r="O332" s="295"/>
      <c r="R332" s="293"/>
      <c r="S332" s="293"/>
      <c r="T332" s="293"/>
      <c r="U332" s="296"/>
      <c r="V332" s="298"/>
    </row>
    <row r="333" spans="1:26" s="291" customFormat="1" ht="13.2" hidden="1">
      <c r="C333" s="292"/>
      <c r="D333" s="292"/>
      <c r="G333" s="293"/>
      <c r="N333" s="294"/>
      <c r="O333" s="295"/>
      <c r="R333" s="293"/>
      <c r="S333" s="293"/>
      <c r="T333" s="293"/>
      <c r="U333" s="296"/>
      <c r="V333" s="298"/>
    </row>
    <row r="334" spans="1:26" s="291" customFormat="1" ht="13.2" hidden="1">
      <c r="C334" s="292"/>
      <c r="D334" s="292"/>
      <c r="G334" s="293"/>
      <c r="N334" s="294"/>
      <c r="O334" s="295"/>
      <c r="R334" s="293"/>
      <c r="S334" s="293"/>
      <c r="T334" s="293"/>
      <c r="U334" s="296"/>
      <c r="V334" s="298"/>
    </row>
    <row r="335" spans="1:26" s="291" customFormat="1" ht="13.2" hidden="1">
      <c r="C335" s="292"/>
      <c r="D335" s="292"/>
      <c r="G335" s="293"/>
      <c r="N335" s="294"/>
      <c r="O335" s="295"/>
      <c r="R335" s="293"/>
      <c r="S335" s="293"/>
      <c r="T335" s="293"/>
      <c r="U335" s="296"/>
      <c r="V335" s="298"/>
    </row>
    <row r="336" spans="1:26" s="291" customFormat="1" ht="13.2" hidden="1">
      <c r="C336" s="292"/>
      <c r="D336" s="292"/>
      <c r="G336" s="293"/>
      <c r="N336" s="299"/>
      <c r="O336" s="295"/>
      <c r="R336" s="293"/>
      <c r="S336" s="293"/>
      <c r="T336" s="293"/>
      <c r="U336" s="296"/>
      <c r="V336" s="298"/>
    </row>
    <row r="337" spans="1:26" s="291" customFormat="1" ht="13.2" hidden="1">
      <c r="C337" s="292"/>
      <c r="D337" s="292"/>
      <c r="G337" s="293"/>
      <c r="N337" s="299"/>
      <c r="O337" s="295"/>
      <c r="R337" s="293"/>
      <c r="S337" s="293"/>
      <c r="T337" s="293"/>
      <c r="U337" s="296"/>
      <c r="V337" s="298"/>
    </row>
    <row r="338" spans="1:26" s="291" customFormat="1" ht="13.2" hidden="1">
      <c r="C338" s="292"/>
      <c r="D338" s="292"/>
      <c r="G338" s="293"/>
      <c r="N338" s="294"/>
      <c r="O338" s="295"/>
      <c r="R338" s="293"/>
      <c r="S338" s="293"/>
      <c r="T338" s="293"/>
      <c r="U338" s="296"/>
      <c r="V338" s="298"/>
    </row>
    <row r="339" spans="1:26" s="291" customFormat="1" ht="13.2" hidden="1">
      <c r="C339" s="292"/>
      <c r="D339" s="292"/>
      <c r="G339" s="293"/>
      <c r="N339" s="294"/>
      <c r="O339" s="295"/>
      <c r="R339" s="293"/>
      <c r="S339" s="293"/>
      <c r="T339" s="293"/>
      <c r="U339" s="296"/>
      <c r="V339" s="298"/>
    </row>
    <row r="340" spans="1:26" s="291" customFormat="1" ht="13.2" hidden="1">
      <c r="C340" s="292"/>
      <c r="D340" s="292"/>
      <c r="G340" s="293"/>
      <c r="N340" s="294"/>
      <c r="O340" s="295"/>
      <c r="R340" s="293"/>
      <c r="S340" s="293"/>
      <c r="T340" s="293"/>
      <c r="U340" s="296"/>
      <c r="V340" s="298"/>
    </row>
    <row r="341" spans="1:26" s="291" customFormat="1" ht="13.2" hidden="1">
      <c r="C341" s="292"/>
      <c r="D341" s="292"/>
      <c r="G341" s="293"/>
      <c r="N341" s="294"/>
      <c r="O341" s="295"/>
      <c r="R341" s="293"/>
      <c r="S341" s="293"/>
      <c r="T341" s="293"/>
      <c r="U341" s="296"/>
      <c r="V341" s="298"/>
    </row>
    <row r="342" spans="1:26" s="291" customFormat="1" ht="13.2" hidden="1">
      <c r="C342" s="292"/>
      <c r="D342" s="292"/>
      <c r="G342" s="293"/>
      <c r="N342" s="294"/>
      <c r="O342" s="295"/>
      <c r="R342" s="293"/>
      <c r="S342" s="293"/>
      <c r="T342" s="293"/>
      <c r="U342" s="296"/>
      <c r="V342" s="298"/>
    </row>
    <row r="343" spans="1:26" s="291" customFormat="1" ht="13.2" hidden="1">
      <c r="C343" s="292"/>
      <c r="D343" s="292"/>
      <c r="G343" s="293"/>
      <c r="N343" s="299"/>
      <c r="O343" s="295"/>
      <c r="R343" s="293"/>
      <c r="S343" s="293"/>
      <c r="T343" s="293"/>
      <c r="U343" s="296"/>
      <c r="V343" s="297"/>
      <c r="W343" s="298"/>
    </row>
    <row r="344" spans="1:26" s="291" customFormat="1" ht="13.2">
      <c r="A344" s="143" t="s">
        <v>1442</v>
      </c>
      <c r="B344" s="143"/>
      <c r="C344" s="144">
        <v>42203</v>
      </c>
      <c r="D344" s="144">
        <v>42210</v>
      </c>
      <c r="E344" s="143" t="s">
        <v>1443</v>
      </c>
      <c r="F344" s="143"/>
      <c r="G344" s="145" t="s">
        <v>1444</v>
      </c>
      <c r="H344" s="143" t="s">
        <v>1445</v>
      </c>
      <c r="I344" s="143" t="s">
        <v>1446</v>
      </c>
      <c r="J344" s="143" t="s">
        <v>180</v>
      </c>
      <c r="K344" s="143"/>
      <c r="L344" s="143" t="s">
        <v>1447</v>
      </c>
      <c r="M344" s="143"/>
      <c r="N344" s="281" t="s">
        <v>1448</v>
      </c>
      <c r="O344" s="148">
        <v>1790</v>
      </c>
      <c r="P344" s="143"/>
      <c r="Q344" s="143" t="s">
        <v>1449</v>
      </c>
      <c r="R344" s="145">
        <v>1</v>
      </c>
      <c r="S344" s="145" t="s">
        <v>1362</v>
      </c>
      <c r="T344" s="145">
        <v>0</v>
      </c>
      <c r="U344" s="236">
        <f>1790/4</f>
        <v>447.5</v>
      </c>
      <c r="V344" s="238">
        <v>42158</v>
      </c>
      <c r="W344" s="143" t="s">
        <v>1450</v>
      </c>
      <c r="X344" s="143" t="s">
        <v>1217</v>
      </c>
      <c r="Y344" s="143"/>
      <c r="Z344" s="143"/>
    </row>
    <row r="345" spans="1:26" s="291" customFormat="1">
      <c r="A345" s="136"/>
      <c r="B345" s="136"/>
      <c r="C345" s="137"/>
      <c r="D345" s="137"/>
      <c r="E345" s="136"/>
      <c r="F345" s="136"/>
      <c r="G345" s="138"/>
      <c r="H345" s="136"/>
      <c r="I345" s="136"/>
      <c r="J345" s="136"/>
      <c r="K345" s="136"/>
      <c r="L345" s="136"/>
      <c r="M345" s="136"/>
      <c r="N345" s="136"/>
      <c r="O345" s="136"/>
      <c r="P345" s="136"/>
      <c r="Q345" s="139"/>
      <c r="R345" s="140"/>
      <c r="S345" s="138"/>
      <c r="T345" s="138"/>
      <c r="U345" s="186"/>
      <c r="V345" s="139"/>
      <c r="W345" s="139"/>
      <c r="X345" s="139"/>
      <c r="Y345" s="139"/>
      <c r="Z345" s="139"/>
    </row>
    <row r="346" spans="1:26" s="291" customFormat="1">
      <c r="A346" s="141" t="s">
        <v>361</v>
      </c>
      <c r="B346" s="136"/>
      <c r="C346" s="137"/>
      <c r="D346" s="137"/>
      <c r="E346" s="136"/>
      <c r="F346" s="136"/>
      <c r="G346" s="138"/>
      <c r="H346" s="136"/>
      <c r="I346" s="136"/>
      <c r="J346" s="136"/>
      <c r="K346" s="136"/>
      <c r="L346" s="136"/>
      <c r="M346" s="136"/>
      <c r="N346" s="136"/>
      <c r="O346" s="136"/>
      <c r="P346" s="136"/>
      <c r="Q346" s="139"/>
      <c r="R346" s="140"/>
      <c r="S346" s="138"/>
      <c r="T346" s="138"/>
      <c r="U346" s="186"/>
      <c r="V346" s="139"/>
      <c r="W346" s="139"/>
      <c r="X346" s="139"/>
      <c r="Y346" s="139"/>
      <c r="Z346" s="139"/>
    </row>
    <row r="347" spans="1:26" s="291" customFormat="1" ht="13.2">
      <c r="A347" s="139"/>
      <c r="B347" s="139"/>
      <c r="C347" s="154"/>
      <c r="D347" s="154"/>
      <c r="E347" s="155"/>
      <c r="F347" s="139"/>
      <c r="G347" s="140"/>
      <c r="H347" s="139"/>
      <c r="I347" s="139"/>
      <c r="J347" s="139"/>
      <c r="K347" s="139"/>
      <c r="L347" s="139"/>
      <c r="M347" s="139"/>
      <c r="N347" s="156"/>
      <c r="O347" s="157"/>
      <c r="P347" s="139"/>
      <c r="Q347" s="139"/>
      <c r="R347" s="140"/>
      <c r="S347" s="140"/>
      <c r="T347" s="140"/>
      <c r="U347" s="158"/>
      <c r="V347" s="139"/>
      <c r="W347" s="139"/>
      <c r="X347" s="139"/>
      <c r="Y347" s="139"/>
      <c r="Z347" s="139"/>
    </row>
    <row r="348" spans="1:26" s="291" customFormat="1">
      <c r="A348" s="136" t="s">
        <v>462</v>
      </c>
      <c r="B348" s="522">
        <f>SUM(O332:O348)</f>
        <v>1790</v>
      </c>
      <c r="C348" s="154"/>
      <c r="D348" s="154"/>
      <c r="E348" s="139"/>
      <c r="F348" s="139"/>
      <c r="G348" s="140"/>
      <c r="H348" s="139"/>
      <c r="I348" s="139"/>
      <c r="J348" s="139"/>
      <c r="K348" s="139"/>
      <c r="L348" s="139"/>
      <c r="M348" s="139"/>
      <c r="N348" s="156"/>
      <c r="O348" s="157"/>
      <c r="P348" s="139"/>
      <c r="Q348" s="139"/>
      <c r="R348" s="140"/>
      <c r="S348" s="140"/>
      <c r="T348" s="140"/>
      <c r="U348" s="158"/>
      <c r="V348" s="139"/>
      <c r="W348" s="139"/>
      <c r="X348" s="139"/>
      <c r="Y348" s="139"/>
      <c r="Z348" s="139"/>
    </row>
    <row r="349" spans="1:26" s="302" customFormat="1">
      <c r="A349" s="136" t="s">
        <v>463</v>
      </c>
      <c r="B349" s="527">
        <f>SUM(R332:R348)</f>
        <v>1</v>
      </c>
      <c r="C349" s="545">
        <f>B348/B349</f>
        <v>1790</v>
      </c>
      <c r="D349" s="137"/>
      <c r="E349" s="136"/>
      <c r="F349" s="136"/>
      <c r="G349" s="138"/>
      <c r="H349" s="136"/>
      <c r="I349" s="136"/>
      <c r="J349" s="136"/>
      <c r="K349" s="136"/>
      <c r="L349" s="136"/>
      <c r="M349" s="136"/>
      <c r="N349" s="139"/>
      <c r="O349" s="139"/>
      <c r="P349" s="136"/>
      <c r="Q349" s="139"/>
      <c r="R349" s="140"/>
      <c r="S349" s="138"/>
      <c r="T349" s="138"/>
      <c r="U349" s="186"/>
      <c r="V349" s="139"/>
      <c r="W349" s="139"/>
      <c r="X349" s="139"/>
      <c r="Y349" s="139"/>
      <c r="Z349" s="139"/>
    </row>
    <row r="350" spans="1:26" s="291" customFormat="1">
      <c r="A350" s="136"/>
      <c r="B350" s="136"/>
      <c r="C350" s="137"/>
      <c r="D350" s="137"/>
      <c r="E350" s="136"/>
      <c r="F350" s="136"/>
      <c r="G350" s="138"/>
      <c r="H350" s="136"/>
      <c r="I350" s="136"/>
      <c r="J350" s="136"/>
      <c r="K350" s="136"/>
      <c r="L350" s="136"/>
      <c r="M350" s="136"/>
      <c r="N350" s="139"/>
      <c r="O350" s="139"/>
      <c r="P350" s="136"/>
      <c r="Q350" s="139"/>
      <c r="R350" s="140"/>
      <c r="S350" s="138"/>
      <c r="T350" s="138"/>
      <c r="U350" s="186"/>
      <c r="V350" s="139"/>
      <c r="W350" s="139"/>
      <c r="X350" s="139"/>
      <c r="Y350" s="139"/>
      <c r="Z350" s="139"/>
    </row>
    <row r="351" spans="1:26" s="310" customFormat="1">
      <c r="A351" s="136" t="s">
        <v>464</v>
      </c>
      <c r="B351" s="533">
        <f>1577.94*12</f>
        <v>18935.28</v>
      </c>
      <c r="C351" s="137"/>
      <c r="D351" s="137"/>
      <c r="E351" s="136"/>
      <c r="F351" s="136"/>
      <c r="G351" s="138"/>
      <c r="H351" s="136"/>
      <c r="I351" s="136"/>
      <c r="J351" s="136"/>
      <c r="K351" s="136"/>
      <c r="L351" s="136"/>
      <c r="M351" s="136"/>
      <c r="N351" s="136"/>
      <c r="O351" s="161"/>
      <c r="P351" s="136"/>
      <c r="Q351" s="139"/>
      <c r="R351" s="140"/>
      <c r="S351" s="138"/>
      <c r="T351" s="138"/>
      <c r="U351" s="186"/>
      <c r="V351" s="139"/>
      <c r="W351" s="139"/>
      <c r="X351" s="139"/>
      <c r="Y351" s="139"/>
      <c r="Z351" s="139"/>
    </row>
    <row r="352" spans="1:26" s="317" customFormat="1">
      <c r="A352" s="136"/>
      <c r="B352" s="136"/>
      <c r="C352" s="137"/>
      <c r="D352" s="137"/>
      <c r="E352" s="136"/>
      <c r="F352" s="136"/>
      <c r="G352" s="138"/>
      <c r="H352" s="136"/>
      <c r="I352" s="136"/>
      <c r="J352" s="136"/>
      <c r="K352" s="136"/>
      <c r="L352" s="136"/>
      <c r="M352" s="136"/>
      <c r="N352" s="136"/>
      <c r="O352" s="161"/>
      <c r="P352" s="136"/>
      <c r="Q352" s="139"/>
      <c r="R352" s="140"/>
      <c r="S352" s="138"/>
      <c r="T352" s="138"/>
      <c r="U352" s="186"/>
      <c r="V352" s="139"/>
      <c r="W352" s="139"/>
      <c r="X352" s="139"/>
      <c r="Y352" s="139"/>
      <c r="Z352" s="139"/>
    </row>
    <row r="353" spans="1:26" s="302" customFormat="1">
      <c r="A353" s="136" t="s">
        <v>465</v>
      </c>
      <c r="B353" s="162">
        <f>B348-B351</f>
        <v>-17145.28</v>
      </c>
      <c r="C353" s="137"/>
      <c r="D353" s="137"/>
      <c r="E353" s="136"/>
      <c r="F353" s="136"/>
      <c r="G353" s="138"/>
      <c r="H353" s="136"/>
      <c r="I353" s="136"/>
      <c r="J353" s="136"/>
      <c r="K353" s="136"/>
      <c r="L353" s="136"/>
      <c r="M353" s="136"/>
      <c r="N353" s="136"/>
      <c r="O353" s="161"/>
      <c r="P353" s="136"/>
      <c r="Q353" s="139"/>
      <c r="R353" s="140"/>
      <c r="S353" s="138"/>
      <c r="T353" s="138"/>
      <c r="U353" s="186"/>
      <c r="V353" s="139"/>
      <c r="W353" s="139"/>
      <c r="X353" s="139"/>
      <c r="Y353" s="139"/>
      <c r="Z353" s="139"/>
    </row>
    <row r="354" spans="1:26" s="291" customFormat="1">
      <c r="A354" s="136" t="s">
        <v>466</v>
      </c>
      <c r="B354" s="162">
        <f>B348/12</f>
        <v>149.16666666666666</v>
      </c>
      <c r="C354" s="137"/>
      <c r="D354" s="137"/>
      <c r="E354" s="136"/>
      <c r="F354" s="136"/>
      <c r="G354" s="138"/>
      <c r="H354" s="136"/>
      <c r="I354" s="136"/>
      <c r="J354" s="136"/>
      <c r="K354" s="136"/>
      <c r="L354" s="136"/>
      <c r="M354" s="136"/>
      <c r="N354" s="136"/>
      <c r="O354" s="161"/>
      <c r="P354" s="136"/>
      <c r="Q354" s="139"/>
      <c r="R354" s="140"/>
      <c r="S354" s="138"/>
      <c r="T354" s="138"/>
      <c r="U354" s="186"/>
      <c r="V354" s="139"/>
      <c r="W354" s="139"/>
      <c r="X354" s="139"/>
      <c r="Y354" s="139"/>
      <c r="Z354" s="139"/>
    </row>
    <row r="355" spans="1:26" s="325" customFormat="1">
      <c r="A355" s="136"/>
      <c r="B355" s="136"/>
      <c r="C355" s="137"/>
      <c r="D355" s="137"/>
      <c r="E355" s="136"/>
      <c r="F355" s="136"/>
      <c r="G355" s="138"/>
      <c r="H355" s="136"/>
      <c r="I355" s="136"/>
      <c r="J355" s="136"/>
      <c r="K355" s="136"/>
      <c r="L355" s="136"/>
      <c r="M355" s="136"/>
      <c r="N355" s="136"/>
      <c r="O355" s="161"/>
      <c r="P355" s="136"/>
      <c r="Q355" s="139"/>
      <c r="R355" s="140"/>
      <c r="S355" s="138"/>
      <c r="T355" s="138"/>
      <c r="U355" s="186"/>
      <c r="V355" s="139"/>
      <c r="W355" s="139"/>
      <c r="X355" s="139"/>
      <c r="Y355" s="139"/>
      <c r="Z355" s="139"/>
    </row>
    <row r="356" spans="1:26" s="291" customFormat="1">
      <c r="A356" s="136"/>
      <c r="B356" s="136"/>
      <c r="C356" s="137"/>
      <c r="D356" s="137"/>
      <c r="E356" s="136"/>
      <c r="F356" s="136"/>
      <c r="G356" s="138"/>
      <c r="H356" s="136"/>
      <c r="I356" s="136"/>
      <c r="J356" s="136"/>
      <c r="K356" s="136"/>
      <c r="L356" s="136"/>
      <c r="M356" s="136"/>
      <c r="N356" s="136"/>
      <c r="O356" s="161"/>
      <c r="P356" s="136"/>
      <c r="Q356" s="139"/>
      <c r="R356" s="140"/>
      <c r="S356" s="138"/>
      <c r="T356" s="138"/>
      <c r="U356" s="186"/>
      <c r="V356" s="139"/>
      <c r="W356" s="139"/>
      <c r="X356" s="139"/>
      <c r="Y356" s="139"/>
      <c r="Z356" s="139"/>
    </row>
    <row r="357" spans="1:26" s="143" customFormat="1">
      <c r="A357" s="136"/>
      <c r="B357" s="136"/>
      <c r="C357" s="137"/>
      <c r="D357" s="137"/>
      <c r="E357" s="136"/>
      <c r="F357" s="136"/>
      <c r="G357" s="138"/>
      <c r="H357" s="136"/>
      <c r="I357" s="136"/>
      <c r="J357" s="136"/>
      <c r="K357" s="136"/>
      <c r="L357" s="136"/>
      <c r="M357" s="136"/>
      <c r="N357" s="136"/>
      <c r="O357" s="161"/>
      <c r="P357" s="136"/>
      <c r="Q357" s="139"/>
      <c r="R357" s="140"/>
      <c r="S357" s="138"/>
      <c r="T357" s="138"/>
      <c r="U357" s="186"/>
      <c r="V357" s="139"/>
      <c r="W357" s="139"/>
      <c r="X357" s="139"/>
      <c r="Y357" s="139"/>
      <c r="Z357" s="139"/>
    </row>
    <row r="358" spans="1:26" s="143" customFormat="1">
      <c r="A358" s="141" t="s">
        <v>471</v>
      </c>
      <c r="B358" s="136"/>
      <c r="C358" s="137"/>
      <c r="D358" s="137"/>
      <c r="E358" s="136"/>
      <c r="F358" s="136"/>
      <c r="G358" s="138"/>
      <c r="H358" s="136"/>
      <c r="I358" s="136"/>
      <c r="J358" s="136"/>
      <c r="K358" s="136"/>
      <c r="L358" s="136"/>
      <c r="M358" s="136"/>
      <c r="N358" s="136"/>
      <c r="O358" s="161"/>
      <c r="P358" s="136"/>
      <c r="Q358" s="139"/>
      <c r="R358" s="140"/>
      <c r="S358" s="138"/>
      <c r="T358" s="138"/>
      <c r="U358" s="186"/>
      <c r="V358" s="139"/>
      <c r="W358" s="139"/>
      <c r="X358" s="139"/>
      <c r="Y358" s="139"/>
      <c r="Z358" s="139"/>
    </row>
    <row r="359" spans="1:26" s="143" customFormat="1">
      <c r="A359" s="136" t="s">
        <v>470</v>
      </c>
      <c r="B359" s="522">
        <f>SUM(O341:O359)</f>
        <v>1790</v>
      </c>
      <c r="C359" s="154"/>
      <c r="D359" s="136" t="s">
        <v>574</v>
      </c>
      <c r="E359" s="139"/>
      <c r="F359" s="139"/>
      <c r="G359" s="140"/>
      <c r="H359" s="139"/>
      <c r="I359" s="139"/>
      <c r="J359" s="139"/>
      <c r="K359" s="139"/>
      <c r="L359" s="139"/>
      <c r="M359" s="139"/>
      <c r="N359" s="156"/>
      <c r="O359" s="157"/>
      <c r="P359" s="139"/>
      <c r="Q359" s="139"/>
      <c r="R359" s="140"/>
      <c r="S359" s="140"/>
      <c r="T359" s="140"/>
      <c r="U359" s="158"/>
      <c r="V359" s="139"/>
      <c r="W359" s="139"/>
      <c r="X359" s="139"/>
      <c r="Y359" s="139"/>
      <c r="Z359" s="139"/>
    </row>
    <row r="360" spans="1:26" ht="12" customHeight="1" thickBot="1">
      <c r="A360" s="136" t="s">
        <v>463</v>
      </c>
      <c r="B360" s="527">
        <f>SUM(R341:R359)</f>
        <v>1</v>
      </c>
      <c r="C360" s="544">
        <f>B359/B360</f>
        <v>1790</v>
      </c>
      <c r="D360" s="512" t="s">
        <v>575</v>
      </c>
      <c r="F360" s="136"/>
      <c r="G360" s="138"/>
      <c r="H360" s="136"/>
      <c r="I360" s="136"/>
      <c r="J360" s="136"/>
      <c r="K360" s="136"/>
      <c r="L360" s="136"/>
      <c r="M360" s="136"/>
      <c r="P360" s="136"/>
      <c r="S360" s="138"/>
      <c r="T360" s="138"/>
      <c r="U360" s="186"/>
    </row>
    <row r="361" spans="1:26" ht="10.8" hidden="1" thickBot="1">
      <c r="N361" s="156"/>
      <c r="O361" s="157"/>
      <c r="U361" s="258"/>
      <c r="V361" s="261"/>
    </row>
    <row r="362" spans="1:26" ht="10.8" hidden="1" thickBot="1">
      <c r="N362" s="156"/>
      <c r="O362" s="157"/>
      <c r="U362" s="258"/>
      <c r="V362" s="261"/>
    </row>
    <row r="363" spans="1:26" ht="10.8" hidden="1" thickBot="1">
      <c r="N363" s="156"/>
      <c r="O363" s="157"/>
      <c r="U363" s="258"/>
      <c r="V363" s="261"/>
    </row>
    <row r="364" spans="1:26" ht="10.8" hidden="1" thickBot="1">
      <c r="N364" s="156"/>
      <c r="O364" s="157"/>
      <c r="U364" s="258"/>
      <c r="V364" s="263"/>
    </row>
    <row r="365" spans="1:26" ht="10.8" hidden="1" thickBot="1">
      <c r="N365" s="156"/>
      <c r="O365" s="157"/>
      <c r="U365" s="258"/>
      <c r="V365" s="261"/>
    </row>
    <row r="366" spans="1:26" ht="10.8" hidden="1" thickBot="1">
      <c r="A366" s="153"/>
      <c r="N366" s="156"/>
      <c r="O366" s="157"/>
      <c r="U366" s="158"/>
    </row>
    <row r="367" spans="1:26" ht="13.8" hidden="1" thickBot="1">
      <c r="H367" s="257"/>
      <c r="N367" s="156"/>
      <c r="O367" s="157"/>
      <c r="U367" s="258"/>
    </row>
    <row r="368" spans="1:26" ht="13.8" hidden="1" thickBot="1">
      <c r="A368" s="259"/>
      <c r="H368" s="194"/>
      <c r="N368" s="156"/>
      <c r="O368" s="157"/>
      <c r="U368" s="260"/>
      <c r="V368" s="261"/>
    </row>
    <row r="369" spans="1:22" ht="14.4" hidden="1" thickBot="1">
      <c r="A369" s="259"/>
      <c r="E369" s="262"/>
      <c r="N369" s="156"/>
      <c r="O369" s="157"/>
      <c r="U369" s="260"/>
      <c r="V369" s="263"/>
    </row>
    <row r="370" spans="1:22" ht="14.4" hidden="1" thickBot="1">
      <c r="A370" s="259"/>
      <c r="E370" s="262"/>
      <c r="N370" s="156"/>
      <c r="O370" s="157"/>
      <c r="U370" s="258"/>
      <c r="V370" s="263"/>
    </row>
    <row r="371" spans="1:22" ht="14.4" hidden="1" thickBot="1">
      <c r="A371" s="264"/>
      <c r="E371" s="262"/>
      <c r="N371" s="156"/>
      <c r="O371" s="157"/>
      <c r="U371" s="260"/>
      <c r="V371" s="263"/>
    </row>
    <row r="372" spans="1:22" ht="13.8" hidden="1" thickBot="1">
      <c r="A372" s="264"/>
      <c r="L372" s="265"/>
      <c r="N372" s="156"/>
      <c r="O372" s="157"/>
      <c r="U372" s="266"/>
      <c r="V372" s="263"/>
    </row>
    <row r="373" spans="1:22" ht="10.8" hidden="1" thickBot="1">
      <c r="A373" s="153"/>
      <c r="L373" s="265"/>
      <c r="N373" s="156"/>
      <c r="O373" s="157"/>
      <c r="U373" s="266"/>
      <c r="V373" s="263"/>
    </row>
    <row r="374" spans="1:22" ht="13.8" hidden="1" thickBot="1">
      <c r="E374" s="194"/>
      <c r="N374" s="267"/>
      <c r="O374" s="157"/>
      <c r="U374" s="268"/>
    </row>
    <row r="375" spans="1:22" ht="14.4" hidden="1" thickBot="1">
      <c r="E375" s="262"/>
      <c r="L375" s="269">
        <f>O363-U363</f>
        <v>0</v>
      </c>
      <c r="N375" s="267"/>
      <c r="O375" s="157"/>
      <c r="S375" s="140">
        <f>O365-U365</f>
        <v>0</v>
      </c>
      <c r="U375" s="260"/>
    </row>
    <row r="376" spans="1:22" ht="13.8" hidden="1" thickBot="1">
      <c r="E376" s="194"/>
      <c r="N376" s="156"/>
      <c r="O376" s="157"/>
      <c r="U376" s="260"/>
    </row>
    <row r="377" spans="1:22" ht="14.4" hidden="1" thickBot="1">
      <c r="E377" s="262"/>
      <c r="N377" s="156"/>
      <c r="O377" s="157"/>
      <c r="U377" s="278"/>
    </row>
    <row r="378" spans="1:22" ht="10.8" hidden="1" thickBot="1">
      <c r="N378" s="156"/>
      <c r="O378" s="157"/>
      <c r="U378" s="260"/>
    </row>
    <row r="379" spans="1:22" ht="10.8" hidden="1" thickBot="1">
      <c r="N379" s="156"/>
      <c r="O379" s="157"/>
      <c r="U379" s="260"/>
    </row>
    <row r="380" spans="1:22" ht="10.8" hidden="1" thickBot="1">
      <c r="N380" s="156"/>
      <c r="O380" s="157"/>
      <c r="U380" s="260"/>
    </row>
    <row r="381" spans="1:22" ht="13.8" hidden="1" thickBot="1">
      <c r="A381" s="136"/>
      <c r="B381" s="136"/>
      <c r="C381" s="137"/>
      <c r="D381" s="137"/>
      <c r="E381" s="194"/>
      <c r="F381" s="136"/>
      <c r="G381" s="138"/>
      <c r="H381" s="136"/>
      <c r="I381" s="136"/>
      <c r="J381" s="136"/>
      <c r="K381" s="136"/>
      <c r="L381" s="136"/>
      <c r="M381" s="136"/>
      <c r="N381" s="136"/>
      <c r="O381" s="136"/>
      <c r="P381" s="136"/>
      <c r="S381" s="138"/>
      <c r="T381" s="138"/>
      <c r="U381" s="235"/>
    </row>
    <row r="382" spans="1:22" ht="10.8" hidden="1" thickBot="1">
      <c r="A382" s="136"/>
      <c r="B382" s="161"/>
      <c r="C382" s="137"/>
      <c r="D382" s="137"/>
      <c r="F382" s="136"/>
      <c r="G382" s="138"/>
      <c r="H382" s="136"/>
      <c r="I382" s="136"/>
      <c r="J382" s="136"/>
      <c r="K382" s="136"/>
      <c r="L382" s="136"/>
      <c r="M382" s="136"/>
      <c r="N382" s="136"/>
      <c r="O382" s="161"/>
      <c r="P382" s="136"/>
      <c r="S382" s="138"/>
      <c r="T382" s="138"/>
      <c r="U382" s="235"/>
      <c r="V382" s="213"/>
    </row>
    <row r="383" spans="1:22" ht="10.8" thickBot="1">
      <c r="A383" s="159"/>
      <c r="B383" s="524"/>
      <c r="C383" s="137"/>
      <c r="D383" s="553" t="s">
        <v>576</v>
      </c>
      <c r="E383" s="183"/>
      <c r="F383" s="136"/>
      <c r="G383" s="138"/>
      <c r="H383" s="136"/>
      <c r="I383" s="136"/>
      <c r="J383" s="136"/>
      <c r="K383" s="136"/>
      <c r="L383" s="136"/>
      <c r="M383" s="136"/>
      <c r="P383" s="136"/>
      <c r="S383" s="138"/>
      <c r="T383" s="138"/>
      <c r="U383" s="136"/>
    </row>
    <row r="384" spans="1:22" ht="10.8" thickBot="1">
      <c r="A384" s="160" t="s">
        <v>464</v>
      </c>
      <c r="B384" s="192">
        <f>1577.94*12</f>
        <v>18935.28</v>
      </c>
      <c r="C384" s="547"/>
      <c r="D384" s="184" t="s">
        <v>579</v>
      </c>
      <c r="E384" s="185">
        <v>1500</v>
      </c>
      <c r="F384" s="136"/>
      <c r="G384" s="138"/>
      <c r="H384" s="136"/>
      <c r="I384" s="188"/>
      <c r="J384" s="136"/>
      <c r="K384" s="136"/>
      <c r="L384" s="136"/>
      <c r="M384" s="136"/>
      <c r="N384" s="161"/>
      <c r="O384" s="161"/>
      <c r="P384" s="136"/>
      <c r="S384" s="138"/>
      <c r="T384" s="138"/>
      <c r="U384" s="136"/>
    </row>
    <row r="385" spans="1:26" ht="10.8" thickBot="1">
      <c r="A385" s="136"/>
      <c r="B385" s="136"/>
      <c r="C385" s="137"/>
      <c r="D385" s="184" t="s">
        <v>577</v>
      </c>
      <c r="E385" s="185">
        <v>712</v>
      </c>
      <c r="F385" s="136"/>
      <c r="G385" s="138"/>
      <c r="H385" s="136"/>
      <c r="I385" s="136"/>
      <c r="J385" s="136"/>
      <c r="K385" s="136"/>
      <c r="L385" s="136"/>
      <c r="M385" s="136"/>
      <c r="N385" s="136"/>
      <c r="O385" s="161"/>
      <c r="P385" s="136"/>
      <c r="S385" s="138"/>
      <c r="T385" s="138"/>
      <c r="U385" s="136"/>
    </row>
    <row r="386" spans="1:26" ht="10.8" thickBot="1">
      <c r="A386" s="159" t="s">
        <v>465</v>
      </c>
      <c r="B386" s="726">
        <f>B381-B384</f>
        <v>-18935.28</v>
      </c>
      <c r="C386" s="137"/>
      <c r="D386" s="184" t="s">
        <v>578</v>
      </c>
      <c r="E386" s="185"/>
      <c r="F386" s="136"/>
      <c r="G386" s="138"/>
      <c r="H386" s="136"/>
      <c r="I386" s="136"/>
      <c r="J386" s="136"/>
      <c r="K386" s="136"/>
      <c r="L386" s="136"/>
      <c r="M386" s="136"/>
      <c r="N386" s="136"/>
      <c r="O386" s="161"/>
      <c r="P386" s="136"/>
      <c r="S386" s="138"/>
      <c r="T386" s="138"/>
      <c r="U386" s="136"/>
    </row>
    <row r="387" spans="1:26" ht="10.8" thickBot="1">
      <c r="A387" s="332" t="s">
        <v>466</v>
      </c>
      <c r="B387" s="734">
        <f>B381/12</f>
        <v>0</v>
      </c>
      <c r="C387" s="137"/>
      <c r="D387" s="556" t="s">
        <v>585</v>
      </c>
      <c r="E387" s="660">
        <f>SUM(E382:E386)</f>
        <v>2212</v>
      </c>
      <c r="F387" s="136"/>
      <c r="G387" s="138"/>
      <c r="H387" s="136"/>
      <c r="I387" s="136"/>
      <c r="J387" s="136"/>
      <c r="K387" s="136"/>
      <c r="L387" s="136"/>
      <c r="M387" s="136"/>
      <c r="N387" s="136"/>
      <c r="O387" s="161"/>
      <c r="P387" s="136"/>
      <c r="S387" s="138"/>
      <c r="T387" s="138"/>
      <c r="U387" s="136"/>
    </row>
    <row r="388" spans="1:26" ht="10.8" thickBot="1">
      <c r="A388" s="153"/>
      <c r="B388" s="185"/>
      <c r="D388" s="563"/>
      <c r="E388" s="190"/>
      <c r="N388" s="156"/>
      <c r="O388" s="157"/>
      <c r="U388" s="157"/>
    </row>
    <row r="389" spans="1:26" ht="13.8" thickBot="1">
      <c r="A389" s="520" t="s">
        <v>580</v>
      </c>
      <c r="B389" s="190"/>
      <c r="D389" s="563"/>
      <c r="E389" s="190"/>
      <c r="K389" s="194"/>
      <c r="L389" s="194"/>
      <c r="M389" s="194"/>
      <c r="O389" s="157"/>
      <c r="U389" s="157"/>
    </row>
    <row r="390" spans="1:26" s="194" customFormat="1" ht="13.2">
      <c r="A390" s="143" t="s">
        <v>626</v>
      </c>
      <c r="B390" s="143" t="s">
        <v>627</v>
      </c>
      <c r="C390" s="144">
        <v>40362</v>
      </c>
      <c r="D390" s="144">
        <v>40369</v>
      </c>
      <c r="E390" s="143"/>
      <c r="F390" s="143"/>
      <c r="G390" s="145"/>
      <c r="H390" s="143"/>
      <c r="I390" s="143"/>
      <c r="J390" s="143" t="s">
        <v>51</v>
      </c>
      <c r="K390" s="143"/>
      <c r="L390" s="143"/>
      <c r="M390" s="143"/>
      <c r="N390" s="151" t="s">
        <v>625</v>
      </c>
      <c r="O390" s="204">
        <v>1390</v>
      </c>
      <c r="P390" s="143"/>
      <c r="Q390" s="173" t="s">
        <v>628</v>
      </c>
      <c r="R390" s="145">
        <v>1</v>
      </c>
      <c r="S390" s="145">
        <v>5</v>
      </c>
      <c r="T390" s="145">
        <v>0</v>
      </c>
      <c r="U390" s="604">
        <f>O390/4</f>
        <v>347.5</v>
      </c>
      <c r="V390" s="143"/>
      <c r="W390" s="143"/>
      <c r="X390" s="143"/>
      <c r="Y390" s="143"/>
      <c r="Z390" s="143"/>
    </row>
    <row r="391" spans="1:26" s="335" customFormat="1" ht="13.2">
      <c r="A391" s="143" t="s">
        <v>608</v>
      </c>
      <c r="B391" s="143"/>
      <c r="C391" s="144">
        <v>40390</v>
      </c>
      <c r="D391" s="144">
        <v>40404</v>
      </c>
      <c r="E391" s="143"/>
      <c r="F391" s="143"/>
      <c r="G391" s="145"/>
      <c r="H391" s="143"/>
      <c r="I391" s="143"/>
      <c r="J391" s="143" t="s">
        <v>19</v>
      </c>
      <c r="K391" s="143" t="s">
        <v>610</v>
      </c>
      <c r="L391" s="143" t="s">
        <v>611</v>
      </c>
      <c r="M391" s="175"/>
      <c r="N391" s="147" t="s">
        <v>609</v>
      </c>
      <c r="O391" s="148">
        <f>1590*2+70+3*14</f>
        <v>3292</v>
      </c>
      <c r="P391" s="143"/>
      <c r="Q391" s="143" t="s">
        <v>600</v>
      </c>
      <c r="R391" s="145">
        <v>2</v>
      </c>
      <c r="S391" s="145">
        <v>6</v>
      </c>
      <c r="T391" s="145">
        <v>1</v>
      </c>
      <c r="U391" s="674">
        <f>O391/4</f>
        <v>823</v>
      </c>
      <c r="V391" s="143"/>
      <c r="W391" s="143"/>
      <c r="X391" s="143"/>
      <c r="Y391" s="143"/>
      <c r="Z391" s="143"/>
    </row>
    <row r="392" spans="1:26" s="335" customFormat="1" ht="13.2">
      <c r="A392" s="139"/>
      <c r="B392" s="139"/>
      <c r="C392" s="154"/>
      <c r="D392" s="154"/>
      <c r="E392" s="139"/>
      <c r="F392" s="139"/>
      <c r="G392" s="140"/>
      <c r="H392" s="139"/>
      <c r="I392" s="139"/>
      <c r="J392" s="139"/>
      <c r="K392" s="139"/>
      <c r="L392" s="139"/>
      <c r="M392" s="139"/>
      <c r="N392" s="156"/>
      <c r="O392" s="157"/>
      <c r="P392" s="139"/>
      <c r="Q392" s="139"/>
      <c r="R392" s="140"/>
      <c r="S392" s="140"/>
      <c r="T392" s="140"/>
      <c r="U392" s="157"/>
      <c r="V392" s="139"/>
      <c r="W392" s="139"/>
      <c r="X392" s="139"/>
      <c r="Y392" s="139"/>
      <c r="Z392" s="139"/>
    </row>
    <row r="393" spans="1:26" s="335" customFormat="1" ht="13.2">
      <c r="A393" s="139"/>
      <c r="B393" s="139"/>
      <c r="C393" s="154"/>
      <c r="D393" s="154"/>
      <c r="E393" s="139"/>
      <c r="F393" s="139"/>
      <c r="G393" s="140"/>
      <c r="H393" s="139"/>
      <c r="I393" s="139"/>
      <c r="J393" s="139"/>
      <c r="K393" s="139"/>
      <c r="L393" s="139"/>
      <c r="M393" s="139"/>
      <c r="N393" s="156"/>
      <c r="O393" s="157"/>
      <c r="P393" s="139"/>
      <c r="Q393" s="139"/>
      <c r="R393" s="140"/>
      <c r="S393" s="140"/>
      <c r="T393" s="140"/>
      <c r="U393" s="157"/>
      <c r="V393" s="139"/>
      <c r="W393" s="139"/>
      <c r="X393" s="139"/>
      <c r="Y393" s="139"/>
      <c r="Z393" s="139"/>
    </row>
    <row r="394" spans="1:26" s="335" customFormat="1" ht="13.2">
      <c r="A394" s="136" t="s">
        <v>643</v>
      </c>
      <c r="B394" s="522">
        <f>SUM(O377:O394)</f>
        <v>4682</v>
      </c>
      <c r="C394" s="154"/>
      <c r="D394" s="141" t="s">
        <v>574</v>
      </c>
      <c r="E394" s="139"/>
      <c r="F394" s="139"/>
      <c r="G394" s="140"/>
      <c r="H394" s="139"/>
      <c r="I394" s="139"/>
      <c r="J394" s="139"/>
      <c r="K394" s="194"/>
      <c r="L394" s="139"/>
      <c r="M394" s="139"/>
      <c r="N394" s="156"/>
      <c r="O394" s="157"/>
      <c r="P394" s="139"/>
      <c r="Q394" s="139"/>
      <c r="R394" s="140"/>
      <c r="S394" s="140"/>
      <c r="T394" s="140"/>
      <c r="U394" s="157"/>
      <c r="V394" s="139"/>
      <c r="W394" s="139"/>
      <c r="X394" s="139"/>
      <c r="Y394" s="139"/>
      <c r="Z394" s="139"/>
    </row>
    <row r="395" spans="1:26" s="335" customFormat="1" ht="13.2">
      <c r="A395" s="136" t="s">
        <v>463</v>
      </c>
      <c r="B395" s="527">
        <f>SUM(R377:R394)</f>
        <v>3</v>
      </c>
      <c r="C395" s="544">
        <f>B394/B395</f>
        <v>1560.6666666666667</v>
      </c>
      <c r="D395" s="512" t="s">
        <v>575</v>
      </c>
      <c r="E395" s="139">
        <f>177*2</f>
        <v>354</v>
      </c>
      <c r="F395" s="136"/>
      <c r="G395" s="138"/>
      <c r="H395" s="136"/>
      <c r="I395" s="136"/>
      <c r="J395" s="136"/>
      <c r="K395" s="194"/>
      <c r="L395" s="136"/>
      <c r="M395" s="136"/>
      <c r="N395" s="139"/>
      <c r="O395" s="213"/>
      <c r="P395" s="136"/>
      <c r="Q395" s="139"/>
      <c r="R395" s="140"/>
      <c r="S395" s="138"/>
      <c r="T395" s="138"/>
      <c r="U395" s="136"/>
      <c r="V395" s="139"/>
      <c r="W395" s="139"/>
      <c r="X395" s="139"/>
      <c r="Y395" s="139"/>
      <c r="Z395" s="139"/>
    </row>
    <row r="396" spans="1:26" s="291" customFormat="1" ht="13.2">
      <c r="A396" s="136"/>
      <c r="B396" s="136"/>
      <c r="C396" s="137"/>
      <c r="D396" s="512" t="s">
        <v>576</v>
      </c>
      <c r="E396" s="139">
        <f>71*10</f>
        <v>710</v>
      </c>
      <c r="F396" s="136"/>
      <c r="G396" s="138"/>
      <c r="H396" s="136"/>
      <c r="I396" s="136"/>
      <c r="J396" s="136"/>
      <c r="K396" s="214"/>
      <c r="L396" s="136"/>
      <c r="M396" s="136"/>
      <c r="N396" s="139"/>
      <c r="O396" s="139"/>
      <c r="P396" s="136"/>
      <c r="Q396" s="139"/>
      <c r="R396" s="140"/>
      <c r="S396" s="138"/>
      <c r="T396" s="215"/>
      <c r="U396" s="186"/>
      <c r="V396" s="139"/>
      <c r="W396" s="139"/>
      <c r="X396" s="139"/>
      <c r="Y396" s="139"/>
      <c r="Z396" s="139"/>
    </row>
    <row r="397" spans="1:26" s="291" customFormat="1" ht="13.2">
      <c r="A397" s="136" t="s">
        <v>464</v>
      </c>
      <c r="B397" s="533">
        <f>1577.94*12</f>
        <v>18935.28</v>
      </c>
      <c r="C397" s="137"/>
      <c r="D397" s="512" t="s">
        <v>667</v>
      </c>
      <c r="E397" s="139">
        <v>1544</v>
      </c>
      <c r="F397" s="136"/>
      <c r="G397" s="138"/>
      <c r="H397" s="136"/>
      <c r="I397" s="188"/>
      <c r="J397" s="136"/>
      <c r="K397" s="194"/>
      <c r="L397" s="136"/>
      <c r="M397" s="136"/>
      <c r="N397" s="161"/>
      <c r="O397" s="161"/>
      <c r="P397" s="136"/>
      <c r="Q397" s="139"/>
      <c r="R397" s="140"/>
      <c r="S397" s="138"/>
      <c r="T397" s="138"/>
      <c r="U397" s="186"/>
      <c r="V397" s="139"/>
      <c r="W397" s="139"/>
      <c r="X397" s="139"/>
      <c r="Y397" s="139"/>
      <c r="Z397" s="139"/>
    </row>
    <row r="398" spans="1:26" s="291" customFormat="1" ht="13.2">
      <c r="A398" s="136"/>
      <c r="B398" s="136"/>
      <c r="C398" s="137"/>
      <c r="D398" s="512" t="s">
        <v>577</v>
      </c>
      <c r="E398" s="139">
        <f>617</f>
        <v>617</v>
      </c>
      <c r="F398" s="136"/>
      <c r="G398" s="138"/>
      <c r="H398" s="136"/>
      <c r="I398" s="136"/>
      <c r="J398" s="136"/>
      <c r="K398" s="194"/>
      <c r="L398" s="136"/>
      <c r="M398" s="136"/>
      <c r="N398" s="136"/>
      <c r="O398" s="161"/>
      <c r="P398" s="136"/>
      <c r="Q398" s="216"/>
      <c r="R398" s="140"/>
      <c r="S398" s="138"/>
      <c r="T398" s="138"/>
      <c r="U398" s="186"/>
      <c r="V398" s="139"/>
      <c r="W398" s="139"/>
      <c r="X398" s="139"/>
      <c r="Y398" s="139"/>
      <c r="Z398" s="139"/>
    </row>
    <row r="399" spans="1:26" s="302" customFormat="1">
      <c r="A399" s="136" t="s">
        <v>465</v>
      </c>
      <c r="B399" s="161">
        <f>B394-B397-E400</f>
        <v>-18112.28</v>
      </c>
      <c r="C399" s="137"/>
      <c r="D399" s="512" t="s">
        <v>578</v>
      </c>
      <c r="E399" s="139">
        <f>634</f>
        <v>634</v>
      </c>
      <c r="F399" s="136"/>
      <c r="G399" s="138"/>
      <c r="H399" s="136"/>
      <c r="I399" s="136"/>
      <c r="J399" s="136"/>
      <c r="K399" s="136"/>
      <c r="L399" s="136"/>
      <c r="M399" s="136"/>
      <c r="N399" s="136"/>
      <c r="O399" s="161"/>
      <c r="P399" s="136"/>
      <c r="Q399" s="139"/>
      <c r="R399" s="140"/>
      <c r="S399" s="138"/>
      <c r="T399" s="138"/>
      <c r="U399" s="186"/>
      <c r="V399" s="139"/>
      <c r="W399" s="139"/>
      <c r="X399" s="139"/>
      <c r="Y399" s="139"/>
      <c r="Z399" s="139"/>
    </row>
    <row r="400" spans="1:26" s="291" customFormat="1">
      <c r="A400" s="136" t="s">
        <v>466</v>
      </c>
      <c r="B400" s="161">
        <f>B394/12</f>
        <v>390.16666666666669</v>
      </c>
      <c r="C400" s="137"/>
      <c r="D400" s="235" t="s">
        <v>585</v>
      </c>
      <c r="E400" s="533">
        <f>SUM(E395:E399)</f>
        <v>3859</v>
      </c>
      <c r="F400" s="136"/>
      <c r="G400" s="138"/>
      <c r="H400" s="136"/>
      <c r="I400" s="136"/>
      <c r="J400" s="136"/>
      <c r="K400" s="136"/>
      <c r="L400" s="136"/>
      <c r="M400" s="136"/>
      <c r="N400" s="136"/>
      <c r="O400" s="161"/>
      <c r="P400" s="136"/>
      <c r="Q400" s="139"/>
      <c r="R400" s="140"/>
      <c r="S400" s="138"/>
      <c r="T400" s="138"/>
      <c r="U400" s="186"/>
      <c r="V400" s="139"/>
      <c r="W400" s="139"/>
      <c r="X400" s="139"/>
      <c r="Y400" s="139"/>
      <c r="Z400" s="139"/>
    </row>
    <row r="401" spans="1:26" s="291" customFormat="1">
      <c r="A401" s="136"/>
      <c r="B401" s="161"/>
      <c r="C401" s="137"/>
      <c r="D401" s="137"/>
      <c r="E401" s="136"/>
      <c r="F401" s="136"/>
      <c r="G401" s="138"/>
      <c r="H401" s="136"/>
      <c r="I401" s="136"/>
      <c r="J401" s="136"/>
      <c r="K401" s="136"/>
      <c r="L401" s="136"/>
      <c r="M401" s="136"/>
      <c r="N401" s="136"/>
      <c r="O401" s="161"/>
      <c r="P401" s="136"/>
      <c r="Q401" s="139"/>
      <c r="R401" s="140"/>
      <c r="S401" s="138"/>
      <c r="T401" s="138"/>
      <c r="U401" s="333"/>
      <c r="V401" s="139"/>
      <c r="W401" s="139"/>
      <c r="X401" s="139"/>
      <c r="Y401" s="139"/>
      <c r="Z401" s="139"/>
    </row>
    <row r="402" spans="1:26" s="291" customFormat="1">
      <c r="A402" s="187"/>
      <c r="B402" s="161"/>
      <c r="C402" s="137"/>
      <c r="D402" s="137"/>
      <c r="E402" s="136"/>
      <c r="F402" s="136"/>
      <c r="G402" s="138"/>
      <c r="H402" s="136"/>
      <c r="I402" s="136"/>
      <c r="J402" s="136"/>
      <c r="K402" s="136"/>
      <c r="L402" s="136"/>
      <c r="M402" s="136"/>
      <c r="N402" s="136"/>
      <c r="O402" s="161"/>
      <c r="P402" s="136"/>
      <c r="Q402" s="139"/>
      <c r="R402" s="140"/>
      <c r="S402" s="138"/>
      <c r="T402" s="138"/>
      <c r="U402" s="186"/>
      <c r="V402" s="139"/>
      <c r="W402" s="139"/>
      <c r="X402" s="139"/>
      <c r="Y402" s="139"/>
      <c r="Z402" s="139"/>
    </row>
    <row r="403" spans="1:26" s="291" customFormat="1">
      <c r="A403" s="136"/>
      <c r="B403" s="161"/>
      <c r="C403" s="137"/>
      <c r="D403" s="137"/>
      <c r="E403" s="136"/>
      <c r="F403" s="136"/>
      <c r="G403" s="138"/>
      <c r="H403" s="136"/>
      <c r="I403" s="136"/>
      <c r="J403" s="136"/>
      <c r="K403" s="136"/>
      <c r="L403" s="136"/>
      <c r="M403" s="136"/>
      <c r="N403" s="136"/>
      <c r="O403" s="161"/>
      <c r="P403" s="136"/>
      <c r="Q403" s="139"/>
      <c r="R403" s="140"/>
      <c r="S403" s="138"/>
      <c r="T403" s="138"/>
      <c r="U403" s="186"/>
      <c r="V403" s="139"/>
      <c r="W403" s="139"/>
      <c r="X403" s="139"/>
      <c r="Y403" s="139"/>
      <c r="Z403" s="139"/>
    </row>
    <row r="404" spans="1:26" s="291" customFormat="1">
      <c r="A404" s="141" t="s">
        <v>675</v>
      </c>
      <c r="B404" s="161"/>
      <c r="C404" s="137"/>
      <c r="D404" s="137"/>
      <c r="E404" s="136"/>
      <c r="F404" s="136"/>
      <c r="G404" s="138"/>
      <c r="H404" s="136"/>
      <c r="I404" s="136"/>
      <c r="J404" s="136"/>
      <c r="K404" s="136"/>
      <c r="L404" s="136"/>
      <c r="M404" s="136"/>
      <c r="N404" s="136"/>
      <c r="O404" s="161"/>
      <c r="P404" s="136"/>
      <c r="Q404" s="139"/>
      <c r="R404" s="140"/>
      <c r="S404" s="138"/>
      <c r="T404" s="138"/>
      <c r="U404" s="186"/>
      <c r="V404" s="139"/>
      <c r="W404" s="139"/>
      <c r="X404" s="139"/>
      <c r="Y404" s="139"/>
      <c r="Z404" s="139"/>
    </row>
    <row r="405" spans="1:26" s="291" customFormat="1">
      <c r="A405" s="141"/>
      <c r="B405" s="161"/>
      <c r="C405" s="137"/>
      <c r="D405" s="137"/>
      <c r="E405" s="136"/>
      <c r="F405" s="136"/>
      <c r="G405" s="138"/>
      <c r="H405" s="136"/>
      <c r="I405" s="136"/>
      <c r="J405" s="136"/>
      <c r="K405" s="136"/>
      <c r="L405" s="136"/>
      <c r="M405" s="136"/>
      <c r="N405" s="136"/>
      <c r="O405" s="161"/>
      <c r="P405" s="136"/>
      <c r="Q405" s="139"/>
      <c r="R405" s="140"/>
      <c r="S405" s="138"/>
      <c r="T405" s="138"/>
      <c r="U405" s="186"/>
      <c r="V405" s="139"/>
      <c r="W405" s="139"/>
      <c r="X405" s="139"/>
      <c r="Y405" s="139"/>
      <c r="Z405" s="139"/>
    </row>
    <row r="406" spans="1:26" s="291" customFormat="1">
      <c r="A406" s="136"/>
      <c r="B406" s="161"/>
      <c r="C406" s="137"/>
      <c r="D406" s="137"/>
      <c r="E406" s="139"/>
      <c r="F406" s="136"/>
      <c r="G406" s="138"/>
      <c r="H406" s="136"/>
      <c r="I406" s="136"/>
      <c r="J406" s="136"/>
      <c r="K406" s="136"/>
      <c r="L406" s="136"/>
      <c r="M406" s="136"/>
      <c r="N406" s="136"/>
      <c r="O406" s="161"/>
      <c r="P406" s="136"/>
      <c r="Q406" s="139"/>
      <c r="R406" s="140"/>
      <c r="S406" s="138"/>
      <c r="T406" s="138"/>
      <c r="U406" s="186"/>
      <c r="V406" s="139"/>
      <c r="W406" s="139"/>
      <c r="X406" s="139"/>
      <c r="Y406" s="139"/>
      <c r="Z406" s="139"/>
    </row>
    <row r="407" spans="1:26" s="291" customFormat="1" ht="13.2">
      <c r="A407" s="136" t="s">
        <v>676</v>
      </c>
      <c r="B407" s="522">
        <f>SUM(O386:O407)</f>
        <v>4682</v>
      </c>
      <c r="C407" s="233" t="e">
        <f>B407/B374</f>
        <v>#DIV/0!</v>
      </c>
      <c r="D407" s="141" t="s">
        <v>574</v>
      </c>
      <c r="E407" s="194"/>
      <c r="F407" s="136"/>
      <c r="G407" s="138"/>
      <c r="H407" s="136"/>
      <c r="I407" s="136"/>
      <c r="J407" s="136"/>
      <c r="K407" s="136"/>
      <c r="L407" s="136"/>
      <c r="M407" s="136"/>
      <c r="N407" s="136"/>
      <c r="O407" s="161"/>
      <c r="P407" s="136"/>
      <c r="Q407" s="139"/>
      <c r="R407" s="140"/>
      <c r="S407" s="138"/>
      <c r="T407" s="138"/>
      <c r="U407" s="186"/>
      <c r="V407" s="139"/>
      <c r="W407" s="139"/>
      <c r="X407" s="139"/>
      <c r="Y407" s="139"/>
      <c r="Z407" s="139"/>
    </row>
    <row r="408" spans="1:26" s="291" customFormat="1">
      <c r="A408" s="136" t="s">
        <v>463</v>
      </c>
      <c r="B408" s="527">
        <f>SUM(R375:R407)</f>
        <v>3</v>
      </c>
      <c r="C408" s="544">
        <f>B407/B408</f>
        <v>1560.6666666666667</v>
      </c>
      <c r="D408" s="512" t="s">
        <v>575</v>
      </c>
      <c r="E408" s="139"/>
      <c r="F408" s="136"/>
      <c r="G408" s="138"/>
      <c r="H408" s="136"/>
      <c r="I408" s="136"/>
      <c r="J408" s="136"/>
      <c r="K408" s="136"/>
      <c r="L408" s="136"/>
      <c r="M408" s="136"/>
      <c r="N408" s="136"/>
      <c r="O408" s="161" t="s">
        <v>771</v>
      </c>
      <c r="P408" s="136"/>
      <c r="Q408" s="139"/>
      <c r="R408" s="140"/>
      <c r="S408" s="138"/>
      <c r="T408" s="138"/>
      <c r="U408" s="186"/>
      <c r="V408" s="139"/>
      <c r="W408" s="139"/>
      <c r="X408" s="139"/>
      <c r="Y408" s="139"/>
      <c r="Z408" s="139"/>
    </row>
    <row r="409" spans="1:26" s="291" customFormat="1">
      <c r="A409" s="136"/>
      <c r="B409" s="136"/>
      <c r="C409" s="137"/>
      <c r="D409" s="512" t="s">
        <v>576</v>
      </c>
      <c r="E409" s="139"/>
      <c r="F409" s="136"/>
      <c r="G409" s="138"/>
      <c r="H409" s="136"/>
      <c r="I409" s="136"/>
      <c r="J409" s="136"/>
      <c r="K409" s="136"/>
      <c r="L409" s="136"/>
      <c r="M409" s="136"/>
      <c r="N409" s="136"/>
      <c r="O409" s="161"/>
      <c r="P409" s="136"/>
      <c r="Q409" s="139"/>
      <c r="R409" s="140"/>
      <c r="S409" s="138"/>
      <c r="T409" s="138"/>
      <c r="U409" s="186"/>
      <c r="V409" s="139"/>
      <c r="W409" s="139"/>
      <c r="X409" s="139"/>
      <c r="Y409" s="139"/>
      <c r="Z409" s="139"/>
    </row>
    <row r="410" spans="1:26" s="291" customFormat="1">
      <c r="A410" s="136" t="s">
        <v>464</v>
      </c>
      <c r="B410" s="533">
        <f>1577.94*12</f>
        <v>18935.28</v>
      </c>
      <c r="C410" s="137"/>
      <c r="D410" s="512" t="s">
        <v>677</v>
      </c>
      <c r="E410" s="139"/>
      <c r="F410" s="136"/>
      <c r="G410" s="138"/>
      <c r="H410" s="136"/>
      <c r="I410" s="136"/>
      <c r="J410" s="136"/>
      <c r="K410" s="136"/>
      <c r="L410" s="136"/>
      <c r="M410" s="136"/>
      <c r="N410" s="136"/>
      <c r="O410" s="161"/>
      <c r="P410" s="136"/>
      <c r="Q410" s="139"/>
      <c r="R410" s="140"/>
      <c r="S410" s="138"/>
      <c r="T410" s="138"/>
      <c r="U410" s="186"/>
      <c r="V410" s="139"/>
      <c r="W410" s="139"/>
      <c r="X410" s="139"/>
      <c r="Y410" s="139"/>
      <c r="Z410" s="139"/>
    </row>
    <row r="411" spans="1:26" s="291" customFormat="1">
      <c r="A411" s="136"/>
      <c r="B411" s="136"/>
      <c r="C411" s="137"/>
      <c r="D411" s="512" t="s">
        <v>577</v>
      </c>
      <c r="E411" s="139"/>
      <c r="F411" s="136"/>
      <c r="G411" s="138"/>
      <c r="H411" s="136"/>
      <c r="I411" s="136"/>
      <c r="J411" s="136"/>
      <c r="K411" s="136">
        <f>290.5*4-70-42</f>
        <v>1050</v>
      </c>
      <c r="L411" s="136"/>
      <c r="M411" s="136"/>
      <c r="N411" s="136"/>
      <c r="O411" s="161">
        <f>1190+1290</f>
        <v>2480</v>
      </c>
      <c r="P411" s="136"/>
      <c r="Q411" s="139"/>
      <c r="R411" s="140"/>
      <c r="S411" s="138"/>
      <c r="T411" s="138"/>
      <c r="U411" s="186"/>
      <c r="V411" s="139"/>
      <c r="W411" s="139"/>
      <c r="X411" s="139"/>
      <c r="Y411" s="139"/>
      <c r="Z411" s="139"/>
    </row>
    <row r="412" spans="1:26" s="310" customFormat="1">
      <c r="A412" s="136" t="s">
        <v>465</v>
      </c>
      <c r="B412" s="161">
        <f>B407-B410-E413</f>
        <v>-14253.279999999999</v>
      </c>
      <c r="C412" s="137"/>
      <c r="D412" s="512" t="s">
        <v>578</v>
      </c>
      <c r="E412" s="139"/>
      <c r="F412" s="136"/>
      <c r="G412" s="138"/>
      <c r="H412" s="136"/>
      <c r="I412" s="136"/>
      <c r="J412" s="136"/>
      <c r="K412" s="136"/>
      <c r="L412" s="161"/>
      <c r="M412" s="136"/>
      <c r="N412" s="136"/>
      <c r="O412" s="161"/>
      <c r="P412" s="136"/>
      <c r="Q412" s="139"/>
      <c r="R412" s="140"/>
      <c r="S412" s="138"/>
      <c r="T412" s="138"/>
      <c r="U412" s="186"/>
      <c r="V412" s="139"/>
      <c r="W412" s="139"/>
      <c r="X412" s="139"/>
      <c r="Y412" s="139"/>
      <c r="Z412" s="139"/>
    </row>
    <row r="413" spans="1:26" s="310" customFormat="1">
      <c r="A413" s="136" t="s">
        <v>466</v>
      </c>
      <c r="B413" s="161">
        <f>B407/12</f>
        <v>390.16666666666669</v>
      </c>
      <c r="C413" s="137"/>
      <c r="D413" s="235" t="s">
        <v>585</v>
      </c>
      <c r="E413" s="533">
        <f>SUM(E408:E412)</f>
        <v>0</v>
      </c>
      <c r="F413" s="136"/>
      <c r="G413" s="138"/>
      <c r="H413" s="136"/>
      <c r="I413" s="136"/>
      <c r="J413" s="136"/>
      <c r="K413" s="136"/>
      <c r="L413" s="136"/>
      <c r="M413" s="136"/>
      <c r="N413" s="136"/>
      <c r="O413" s="161"/>
      <c r="P413" s="136"/>
      <c r="Q413" s="139"/>
      <c r="R413" s="140"/>
      <c r="S413" s="138"/>
      <c r="T413" s="138">
        <f>O397-U397</f>
        <v>0</v>
      </c>
      <c r="U413" s="186"/>
      <c r="V413" s="139"/>
      <c r="W413" s="139"/>
      <c r="X413" s="139"/>
      <c r="Y413" s="139"/>
      <c r="Z413" s="139"/>
    </row>
    <row r="414" spans="1:26" s="291" customFormat="1">
      <c r="A414" s="136"/>
      <c r="B414" s="161"/>
      <c r="C414" s="137"/>
      <c r="D414" s="137"/>
      <c r="E414" s="136"/>
      <c r="F414" s="136"/>
      <c r="G414" s="138"/>
      <c r="H414" s="136"/>
      <c r="I414" s="136"/>
      <c r="J414" s="136"/>
      <c r="K414" s="136"/>
      <c r="L414" s="136"/>
      <c r="M414" s="136"/>
      <c r="N414" s="136"/>
      <c r="O414" s="161"/>
      <c r="P414" s="136"/>
      <c r="Q414" s="139"/>
      <c r="R414" s="140"/>
      <c r="S414" s="138"/>
      <c r="T414" s="138"/>
      <c r="U414" s="186"/>
      <c r="V414" s="139"/>
      <c r="W414" s="139"/>
      <c r="X414" s="139"/>
      <c r="Y414" s="139"/>
      <c r="Z414" s="139"/>
    </row>
    <row r="415" spans="1:26" s="291" customFormat="1">
      <c r="A415" s="136"/>
      <c r="B415" s="161"/>
      <c r="C415" s="137"/>
      <c r="D415" s="137"/>
      <c r="E415" s="136"/>
      <c r="F415" s="136"/>
      <c r="G415" s="138"/>
      <c r="H415" s="136"/>
      <c r="I415" s="136"/>
      <c r="J415" s="136"/>
      <c r="K415" s="136"/>
      <c r="L415" s="136"/>
      <c r="M415" s="136"/>
      <c r="N415" s="136"/>
      <c r="O415" s="161"/>
      <c r="P415" s="136"/>
      <c r="Q415" s="139"/>
      <c r="R415" s="140"/>
      <c r="S415" s="138"/>
      <c r="T415" s="138"/>
      <c r="U415" s="186"/>
      <c r="V415" s="139"/>
      <c r="W415" s="139"/>
      <c r="X415" s="139"/>
      <c r="Y415" s="139"/>
      <c r="Z415" s="139"/>
    </row>
    <row r="416" spans="1:26" s="291" customFormat="1">
      <c r="A416" s="136"/>
      <c r="B416" s="161"/>
      <c r="C416" s="137"/>
      <c r="D416" s="137"/>
      <c r="E416" s="136"/>
      <c r="F416" s="136"/>
      <c r="G416" s="138"/>
      <c r="H416" s="136"/>
      <c r="I416" s="136"/>
      <c r="J416" s="136"/>
      <c r="K416" s="136"/>
      <c r="L416" s="136"/>
      <c r="M416" s="136"/>
      <c r="N416" s="136"/>
      <c r="O416" s="161"/>
      <c r="P416" s="136"/>
      <c r="Q416" s="139"/>
      <c r="R416" s="140"/>
      <c r="S416" s="138"/>
      <c r="T416" s="138"/>
      <c r="U416" s="186"/>
      <c r="V416" s="139"/>
      <c r="W416" s="139"/>
      <c r="X416" s="139"/>
      <c r="Y416" s="139"/>
      <c r="Z416" s="139"/>
    </row>
    <row r="417" spans="1:26" s="291" customFormat="1">
      <c r="A417" s="141" t="s">
        <v>826</v>
      </c>
      <c r="B417" s="161"/>
      <c r="C417" s="137"/>
      <c r="D417" s="137"/>
      <c r="E417" s="136"/>
      <c r="F417" s="136"/>
      <c r="G417" s="138"/>
      <c r="H417" s="136"/>
      <c r="I417" s="136"/>
      <c r="J417" s="136"/>
      <c r="K417" s="136"/>
      <c r="L417" s="136"/>
      <c r="M417" s="136"/>
      <c r="N417" s="136"/>
      <c r="O417" s="161"/>
      <c r="P417" s="136"/>
      <c r="Q417" s="139"/>
      <c r="R417" s="140"/>
      <c r="S417" s="138"/>
      <c r="T417" s="138"/>
      <c r="U417" s="587"/>
      <c r="V417" s="139"/>
      <c r="W417" s="139"/>
      <c r="X417" s="139"/>
      <c r="Y417" s="139"/>
      <c r="Z417" s="139"/>
    </row>
    <row r="418" spans="1:26" s="291" customFormat="1" ht="13.2">
      <c r="A418" s="139"/>
      <c r="B418" s="136"/>
      <c r="C418" s="137"/>
      <c r="D418" s="137"/>
      <c r="E418" s="194"/>
      <c r="F418" s="136"/>
      <c r="G418" s="138"/>
      <c r="H418" s="136"/>
      <c r="I418" s="136"/>
      <c r="J418" s="136"/>
      <c r="K418" s="136"/>
      <c r="L418" s="136"/>
      <c r="M418" s="136"/>
      <c r="N418" s="161"/>
      <c r="O418" s="136"/>
      <c r="P418" s="136"/>
      <c r="Q418" s="139"/>
      <c r="R418" s="140"/>
      <c r="S418" s="138"/>
      <c r="T418" s="138"/>
      <c r="U418" s="587"/>
      <c r="V418" s="139"/>
      <c r="W418" s="139"/>
      <c r="X418" s="139"/>
      <c r="Y418" s="139"/>
      <c r="Z418" s="139"/>
    </row>
    <row r="419" spans="1:26" s="291" customFormat="1">
      <c r="A419" s="136"/>
      <c r="B419" s="161"/>
      <c r="C419" s="137"/>
      <c r="D419" s="137"/>
      <c r="E419" s="139"/>
      <c r="F419" s="136"/>
      <c r="G419" s="138"/>
      <c r="H419" s="136"/>
      <c r="I419" s="136"/>
      <c r="J419" s="136"/>
      <c r="K419" s="136"/>
      <c r="L419" s="136"/>
      <c r="M419" s="136"/>
      <c r="N419" s="136"/>
      <c r="O419" s="161"/>
      <c r="P419" s="136"/>
      <c r="Q419" s="139"/>
      <c r="R419" s="140"/>
      <c r="S419" s="138"/>
      <c r="T419" s="138"/>
      <c r="U419" s="587"/>
      <c r="V419" s="213"/>
      <c r="W419" s="139"/>
      <c r="X419" s="139"/>
      <c r="Y419" s="139"/>
      <c r="Z419" s="139"/>
    </row>
    <row r="420" spans="1:26" ht="13.2">
      <c r="A420" s="136" t="s">
        <v>861</v>
      </c>
      <c r="B420" s="522">
        <f>SUM(O398:O420)</f>
        <v>2480</v>
      </c>
      <c r="C420" s="233" t="e">
        <f>B420/B388</f>
        <v>#DIV/0!</v>
      </c>
      <c r="D420" s="141" t="s">
        <v>574</v>
      </c>
      <c r="E420" s="194"/>
      <c r="F420" s="136"/>
      <c r="G420" s="138"/>
      <c r="H420" s="136"/>
      <c r="I420" s="136"/>
      <c r="J420" s="136"/>
      <c r="K420" s="136"/>
      <c r="L420" s="136"/>
      <c r="M420" s="136"/>
      <c r="N420" s="136"/>
      <c r="O420" s="161"/>
      <c r="P420" s="136"/>
      <c r="S420" s="138"/>
      <c r="T420" s="138"/>
      <c r="U420" s="235"/>
    </row>
    <row r="421" spans="1:26">
      <c r="A421" s="136" t="s">
        <v>463</v>
      </c>
      <c r="B421" s="527">
        <f>SUM(R387:R420)</f>
        <v>3</v>
      </c>
      <c r="C421" s="544">
        <f>B420/B421</f>
        <v>826.66666666666663</v>
      </c>
      <c r="D421" s="512" t="s">
        <v>575</v>
      </c>
      <c r="F421" s="136"/>
      <c r="G421" s="138"/>
      <c r="H421" s="136"/>
      <c r="I421" s="136"/>
      <c r="J421" s="136"/>
      <c r="K421" s="136"/>
      <c r="L421" s="136"/>
      <c r="M421" s="136"/>
      <c r="N421" s="136"/>
      <c r="O421" s="161" t="s">
        <v>771</v>
      </c>
      <c r="P421" s="136"/>
      <c r="S421" s="138"/>
      <c r="T421" s="138"/>
      <c r="U421" s="249">
        <f>O411-U411+O412-U412+70+5*3*14</f>
        <v>2760</v>
      </c>
    </row>
    <row r="422" spans="1:26">
      <c r="A422" s="136"/>
      <c r="B422" s="136"/>
      <c r="C422" s="137"/>
      <c r="D422" s="512" t="s">
        <v>576</v>
      </c>
      <c r="F422" s="136"/>
      <c r="G422" s="138"/>
      <c r="H422" s="136"/>
      <c r="I422" s="136"/>
      <c r="J422" s="136"/>
      <c r="K422" s="136"/>
      <c r="L422" s="136"/>
      <c r="M422" s="136"/>
      <c r="N422" s="136"/>
      <c r="O422" s="161"/>
      <c r="P422" s="136"/>
      <c r="S422" s="138">
        <f>O412-U412</f>
        <v>0</v>
      </c>
      <c r="T422" s="138"/>
      <c r="U422" s="250">
        <f>O413-U413+O414-U414+O415-U415</f>
        <v>0</v>
      </c>
    </row>
    <row r="423" spans="1:26">
      <c r="A423" s="136" t="s">
        <v>464</v>
      </c>
      <c r="B423" s="533">
        <f>1577.94*12</f>
        <v>18935.28</v>
      </c>
      <c r="C423" s="137"/>
      <c r="D423" s="512" t="s">
        <v>677</v>
      </c>
      <c r="F423" s="136"/>
      <c r="G423" s="138"/>
      <c r="H423" s="136"/>
      <c r="I423" s="136"/>
      <c r="J423" s="136"/>
      <c r="K423" s="136"/>
      <c r="L423" s="136"/>
      <c r="M423" s="136"/>
      <c r="N423" s="136"/>
      <c r="O423" s="161"/>
      <c r="P423" s="136"/>
      <c r="S423" s="138"/>
      <c r="T423" s="138"/>
      <c r="U423" s="250">
        <f>U421+U422</f>
        <v>2760</v>
      </c>
    </row>
    <row r="424" spans="1:26" s="194" customFormat="1" ht="13.8" thickBot="1">
      <c r="A424" s="136"/>
      <c r="B424" s="136"/>
      <c r="C424" s="137"/>
      <c r="D424" s="512" t="s">
        <v>577</v>
      </c>
      <c r="E424" s="139"/>
      <c r="F424" s="136"/>
      <c r="G424" s="138"/>
      <c r="H424" s="136" t="s">
        <v>1026</v>
      </c>
      <c r="I424" s="136"/>
      <c r="J424" s="136"/>
      <c r="K424" s="136"/>
      <c r="L424" s="136"/>
      <c r="M424" s="136"/>
      <c r="N424" s="136"/>
      <c r="O424" s="161">
        <f>1190+1290</f>
        <v>2480</v>
      </c>
      <c r="P424" s="136"/>
      <c r="Q424" s="139"/>
      <c r="R424" s="140"/>
      <c r="S424" s="138"/>
      <c r="T424" s="138"/>
      <c r="U424" s="136"/>
      <c r="V424" s="139"/>
      <c r="W424" s="139"/>
      <c r="X424" s="139"/>
      <c r="Y424" s="139"/>
      <c r="Z424" s="139"/>
    </row>
    <row r="425" spans="1:26" ht="10.8" thickBot="1">
      <c r="A425" s="159" t="s">
        <v>465</v>
      </c>
      <c r="B425" s="217">
        <f>B420-B423-E426</f>
        <v>-16455.28</v>
      </c>
      <c r="C425" s="137"/>
      <c r="D425" s="553" t="s">
        <v>578</v>
      </c>
      <c r="E425" s="183"/>
      <c r="F425" s="136"/>
      <c r="G425" s="138"/>
      <c r="H425" s="136"/>
      <c r="I425" s="136"/>
      <c r="J425" s="136"/>
      <c r="K425" s="136"/>
      <c r="L425" s="161"/>
      <c r="M425" s="136"/>
      <c r="N425" s="136"/>
      <c r="O425" s="161"/>
      <c r="P425" s="136"/>
      <c r="S425" s="138"/>
      <c r="T425" s="138"/>
      <c r="U425" s="136"/>
    </row>
    <row r="426" spans="1:26" ht="10.8" thickBot="1">
      <c r="A426" s="160" t="s">
        <v>1045</v>
      </c>
      <c r="B426" s="218">
        <f>B420/12</f>
        <v>206.66666666666666</v>
      </c>
      <c r="C426" s="547"/>
      <c r="D426" s="566" t="s">
        <v>585</v>
      </c>
      <c r="E426" s="660">
        <f>SUM(E421:E425)</f>
        <v>0</v>
      </c>
      <c r="F426" s="136"/>
      <c r="G426" s="138"/>
      <c r="H426" s="136"/>
      <c r="I426" s="136"/>
      <c r="J426" s="136"/>
      <c r="K426" s="136"/>
      <c r="L426" s="136"/>
      <c r="M426" s="136"/>
      <c r="N426" s="136"/>
      <c r="O426" s="161"/>
      <c r="P426" s="136"/>
      <c r="S426" s="138"/>
      <c r="T426" s="138"/>
      <c r="U426" s="136"/>
    </row>
    <row r="427" spans="1:26" ht="10.8" thickBot="1">
      <c r="A427" s="136"/>
      <c r="C427" s="137"/>
      <c r="D427" s="566"/>
      <c r="E427" s="186"/>
      <c r="F427" s="136"/>
      <c r="G427" s="138"/>
      <c r="H427" s="136"/>
      <c r="I427" s="136"/>
      <c r="J427" s="136"/>
      <c r="K427" s="136"/>
      <c r="L427" s="136"/>
      <c r="M427" s="136"/>
      <c r="N427" s="136"/>
      <c r="O427" s="161"/>
      <c r="P427" s="136"/>
      <c r="S427" s="138"/>
      <c r="T427" s="138"/>
      <c r="U427" s="136"/>
    </row>
    <row r="428" spans="1:26" ht="10.8" thickBot="1">
      <c r="A428" s="159"/>
      <c r="B428" s="183"/>
      <c r="C428" s="137"/>
      <c r="D428" s="566"/>
      <c r="E428" s="186"/>
      <c r="F428" s="136"/>
      <c r="G428" s="138"/>
      <c r="H428" s="136"/>
      <c r="I428" s="136"/>
      <c r="J428" s="136"/>
      <c r="K428" s="136"/>
      <c r="L428" s="136"/>
      <c r="M428" s="136"/>
      <c r="N428" s="136"/>
      <c r="O428" s="161"/>
      <c r="P428" s="136"/>
      <c r="S428" s="138"/>
      <c r="T428" s="138"/>
      <c r="U428" s="136"/>
    </row>
    <row r="429" spans="1:26" ht="10.8" thickBot="1">
      <c r="A429" s="722" t="s">
        <v>952</v>
      </c>
      <c r="B429" s="641"/>
      <c r="C429" s="137"/>
      <c r="D429" s="556"/>
      <c r="E429" s="186"/>
      <c r="F429" s="136"/>
      <c r="G429" s="138"/>
      <c r="H429" s="136"/>
      <c r="I429" s="136"/>
      <c r="J429" s="136"/>
      <c r="K429" s="136"/>
      <c r="L429" s="136"/>
      <c r="M429" s="136"/>
      <c r="N429" s="136"/>
      <c r="O429" s="161"/>
      <c r="P429" s="136"/>
      <c r="S429" s="138"/>
      <c r="T429" s="138"/>
      <c r="U429" s="235"/>
    </row>
    <row r="430" spans="1:26" ht="10.8" thickBot="1">
      <c r="A430" s="142" t="s">
        <v>1046</v>
      </c>
      <c r="B430" s="530" t="s">
        <v>1047</v>
      </c>
      <c r="C430" s="144">
        <v>41356</v>
      </c>
      <c r="D430" s="559">
        <v>41370</v>
      </c>
      <c r="E430" s="529"/>
      <c r="F430" s="143"/>
      <c r="G430" s="145"/>
      <c r="H430" s="143"/>
      <c r="I430" s="143"/>
      <c r="J430" s="143" t="s">
        <v>51</v>
      </c>
      <c r="K430" s="143" t="s">
        <v>1048</v>
      </c>
      <c r="L430" s="173" t="s">
        <v>1049</v>
      </c>
      <c r="M430" s="143"/>
      <c r="N430" s="147" t="s">
        <v>1050</v>
      </c>
      <c r="O430" s="148">
        <f>2*690+3*2*14</f>
        <v>1464</v>
      </c>
      <c r="P430" s="143"/>
      <c r="Q430" s="143" t="s">
        <v>1051</v>
      </c>
      <c r="R430" s="145">
        <v>2</v>
      </c>
      <c r="S430" s="145">
        <v>3</v>
      </c>
      <c r="T430" s="145">
        <v>2</v>
      </c>
      <c r="U430" s="600">
        <v>345</v>
      </c>
      <c r="V430" s="238">
        <v>41280</v>
      </c>
      <c r="W430" s="143" t="s">
        <v>1052</v>
      </c>
      <c r="X430" s="143"/>
      <c r="Y430" s="143"/>
      <c r="Z430" s="143"/>
    </row>
    <row r="431" spans="1:26" ht="10.8" thickBot="1">
      <c r="A431" s="160"/>
      <c r="B431" s="218"/>
      <c r="C431" s="137"/>
      <c r="D431" s="191"/>
      <c r="E431" s="190"/>
      <c r="F431" s="136"/>
      <c r="G431" s="138"/>
      <c r="H431" s="136"/>
      <c r="I431" s="136"/>
      <c r="J431" s="136"/>
      <c r="K431" s="136"/>
      <c r="L431" s="136"/>
      <c r="M431" s="136"/>
      <c r="N431" s="136"/>
      <c r="O431" s="161"/>
      <c r="P431" s="136"/>
      <c r="S431" s="138"/>
      <c r="T431" s="138"/>
      <c r="U431" s="235"/>
      <c r="V431" s="213"/>
    </row>
    <row r="432" spans="1:26" ht="13.2">
      <c r="A432" s="136" t="s">
        <v>1143</v>
      </c>
      <c r="B432" s="522">
        <f>SUM(O398:O432)</f>
        <v>6424</v>
      </c>
      <c r="C432" s="233" t="e">
        <f>B432/B389</f>
        <v>#DIV/0!</v>
      </c>
      <c r="D432" s="141" t="s">
        <v>574</v>
      </c>
      <c r="E432" s="194"/>
      <c r="F432" s="136"/>
      <c r="G432" s="138"/>
      <c r="H432" s="136"/>
      <c r="I432" s="136"/>
      <c r="J432" s="136"/>
      <c r="K432" s="136"/>
      <c r="L432" s="136"/>
      <c r="M432" s="136"/>
      <c r="N432" s="161"/>
      <c r="O432" s="161"/>
      <c r="P432" s="136"/>
      <c r="S432" s="138"/>
      <c r="T432" s="138"/>
      <c r="U432" s="235"/>
    </row>
    <row r="433" spans="1:26">
      <c r="A433" s="187" t="s">
        <v>463</v>
      </c>
      <c r="B433" s="527">
        <f>SUM(R387:R432)</f>
        <v>5</v>
      </c>
      <c r="C433" s="544">
        <f>B432/B433</f>
        <v>1284.8</v>
      </c>
      <c r="D433" s="512" t="s">
        <v>575</v>
      </c>
      <c r="F433" s="136"/>
      <c r="G433" s="138"/>
      <c r="H433" s="136"/>
      <c r="I433" s="136"/>
      <c r="J433" s="136"/>
      <c r="K433" s="136"/>
      <c r="L433" s="136"/>
      <c r="M433" s="136"/>
      <c r="N433" s="136"/>
      <c r="O433" s="161"/>
      <c r="P433" s="136"/>
      <c r="S433" s="138"/>
      <c r="T433" s="138"/>
      <c r="U433" s="587"/>
    </row>
    <row r="434" spans="1:26">
      <c r="A434" s="187"/>
      <c r="B434" s="136"/>
      <c r="C434" s="137"/>
      <c r="D434" s="512" t="s">
        <v>576</v>
      </c>
      <c r="F434" s="136"/>
      <c r="G434" s="138"/>
      <c r="H434" s="136"/>
      <c r="I434" s="136"/>
      <c r="J434" s="136"/>
      <c r="K434" s="136"/>
      <c r="L434" s="136"/>
      <c r="M434" s="136"/>
      <c r="N434" s="136"/>
      <c r="O434" s="161"/>
      <c r="P434" s="136"/>
      <c r="S434" s="138"/>
      <c r="T434" s="138"/>
      <c r="U434" s="186"/>
    </row>
    <row r="435" spans="1:26" s="335" customFormat="1" ht="13.2">
      <c r="A435" s="136" t="s">
        <v>464</v>
      </c>
      <c r="B435" s="533">
        <f>(1577.94*12)-1040.38-(1040.38-394.46)</f>
        <v>17248.979999999996</v>
      </c>
      <c r="C435" s="137"/>
      <c r="D435" s="512" t="s">
        <v>677</v>
      </c>
      <c r="E435" s="139"/>
      <c r="F435" s="136"/>
      <c r="G435" s="138"/>
      <c r="H435" s="136"/>
      <c r="I435" s="136"/>
      <c r="J435" s="136"/>
      <c r="K435" s="136"/>
      <c r="L435" s="136"/>
      <c r="M435" s="136"/>
      <c r="N435" s="136"/>
      <c r="O435" s="161"/>
      <c r="P435" s="136"/>
      <c r="Q435" s="139"/>
      <c r="R435" s="140"/>
      <c r="S435" s="138"/>
      <c r="T435" s="138"/>
      <c r="U435" s="136"/>
      <c r="V435" s="139"/>
      <c r="W435" s="139"/>
      <c r="X435" s="139"/>
      <c r="Y435" s="139"/>
      <c r="Z435" s="139"/>
    </row>
    <row r="436" spans="1:26" s="372" customFormat="1">
      <c r="A436" s="136"/>
      <c r="B436" s="136"/>
      <c r="C436" s="137"/>
      <c r="D436" s="512" t="s">
        <v>577</v>
      </c>
      <c r="E436" s="139"/>
      <c r="F436" s="136"/>
      <c r="G436" s="138"/>
      <c r="H436" s="136"/>
      <c r="I436" s="136"/>
      <c r="J436" s="136"/>
      <c r="K436" s="136"/>
      <c r="L436" s="136"/>
      <c r="M436" s="136"/>
      <c r="N436" s="136"/>
      <c r="O436" s="161"/>
      <c r="P436" s="136"/>
      <c r="Q436" s="139"/>
      <c r="R436" s="140"/>
      <c r="S436" s="138"/>
      <c r="T436" s="138"/>
      <c r="U436" s="186"/>
      <c r="V436" s="139"/>
      <c r="W436" s="139"/>
      <c r="X436" s="139"/>
      <c r="Y436" s="139"/>
      <c r="Z436" s="139"/>
    </row>
    <row r="437" spans="1:26" s="355" customFormat="1">
      <c r="A437" s="136" t="s">
        <v>465</v>
      </c>
      <c r="B437" s="161">
        <f>B432-B435-E438</f>
        <v>-10824.979999999996</v>
      </c>
      <c r="C437" s="137"/>
      <c r="D437" s="512" t="s">
        <v>578</v>
      </c>
      <c r="E437" s="139"/>
      <c r="F437" s="136"/>
      <c r="G437" s="138"/>
      <c r="H437" s="136"/>
      <c r="I437" s="136"/>
      <c r="J437" s="136"/>
      <c r="K437" s="136"/>
      <c r="L437" s="161"/>
      <c r="M437" s="136"/>
      <c r="N437" s="136"/>
      <c r="O437" s="161"/>
      <c r="P437" s="136"/>
      <c r="Q437" s="139"/>
      <c r="R437" s="140"/>
      <c r="S437" s="138"/>
      <c r="T437" s="138"/>
      <c r="U437" s="186"/>
      <c r="V437" s="139"/>
      <c r="W437" s="139"/>
      <c r="X437" s="139"/>
      <c r="Y437" s="139"/>
      <c r="Z437" s="139"/>
    </row>
    <row r="438" spans="1:26" s="115" customFormat="1">
      <c r="A438" s="136" t="s">
        <v>466</v>
      </c>
      <c r="B438" s="161">
        <f>B432/12</f>
        <v>535.33333333333337</v>
      </c>
      <c r="C438" s="137"/>
      <c r="D438" s="235" t="s">
        <v>585</v>
      </c>
      <c r="E438" s="533">
        <f>SUM(E433:E437)</f>
        <v>0</v>
      </c>
      <c r="F438" s="136"/>
      <c r="G438" s="138"/>
      <c r="H438" s="136"/>
      <c r="I438" s="136"/>
      <c r="J438" s="136"/>
      <c r="K438" s="136"/>
      <c r="L438" s="136"/>
      <c r="M438" s="136"/>
      <c r="N438" s="136"/>
      <c r="O438" s="161"/>
      <c r="P438" s="136"/>
      <c r="Q438" s="139"/>
      <c r="R438" s="140"/>
      <c r="S438" s="138"/>
      <c r="T438" s="138"/>
      <c r="U438" s="186"/>
      <c r="V438" s="139"/>
      <c r="W438" s="139"/>
      <c r="X438" s="139"/>
      <c r="Y438" s="139"/>
      <c r="Z438" s="139"/>
    </row>
    <row r="439" spans="1:26" s="355" customFormat="1">
      <c r="A439" s="136"/>
      <c r="B439" s="139"/>
      <c r="C439" s="137"/>
      <c r="D439" s="235"/>
      <c r="E439" s="136"/>
      <c r="F439" s="136"/>
      <c r="G439" s="138"/>
      <c r="H439" s="136"/>
      <c r="I439" s="136"/>
      <c r="J439" s="136"/>
      <c r="K439" s="136"/>
      <c r="L439" s="136"/>
      <c r="M439" s="136"/>
      <c r="N439" s="136"/>
      <c r="O439" s="161"/>
      <c r="P439" s="136"/>
      <c r="Q439" s="139"/>
      <c r="R439" s="140"/>
      <c r="S439" s="138"/>
      <c r="T439" s="138"/>
      <c r="U439" s="186"/>
      <c r="V439" s="139"/>
      <c r="W439" s="139"/>
      <c r="X439" s="139"/>
      <c r="Y439" s="139"/>
      <c r="Z439" s="139"/>
    </row>
    <row r="440" spans="1:26" s="115" customFormat="1">
      <c r="A440" s="136"/>
      <c r="B440" s="139"/>
      <c r="C440" s="137"/>
      <c r="D440" s="235"/>
      <c r="E440" s="136"/>
      <c r="F440" s="136"/>
      <c r="G440" s="138"/>
      <c r="H440" s="136"/>
      <c r="I440" s="136"/>
      <c r="J440" s="136"/>
      <c r="K440" s="136"/>
      <c r="L440" s="136"/>
      <c r="M440" s="136"/>
      <c r="N440" s="136"/>
      <c r="O440" s="161"/>
      <c r="P440" s="136"/>
      <c r="Q440" s="139"/>
      <c r="R440" s="140"/>
      <c r="S440" s="138"/>
      <c r="T440" s="138"/>
      <c r="U440" s="136"/>
      <c r="V440" s="139"/>
      <c r="W440" s="139"/>
      <c r="X440" s="139"/>
      <c r="Y440" s="139"/>
      <c r="Z440" s="139"/>
    </row>
    <row r="441" spans="1:26" s="115" customFormat="1">
      <c r="A441" s="136"/>
      <c r="B441" s="139"/>
      <c r="C441" s="137"/>
      <c r="D441" s="235"/>
      <c r="E441" s="136"/>
      <c r="F441" s="136"/>
      <c r="G441" s="138"/>
      <c r="H441" s="136"/>
      <c r="I441" s="136"/>
      <c r="J441" s="136"/>
      <c r="K441" s="136"/>
      <c r="L441" s="136"/>
      <c r="M441" s="136"/>
      <c r="N441" s="136"/>
      <c r="O441" s="161"/>
      <c r="P441" s="136"/>
      <c r="Q441" s="139"/>
      <c r="R441" s="140"/>
      <c r="S441" s="138"/>
      <c r="T441" s="138"/>
      <c r="U441" s="136"/>
      <c r="V441" s="139"/>
      <c r="W441" s="139"/>
      <c r="X441" s="139"/>
      <c r="Y441" s="139"/>
      <c r="Z441" s="139"/>
    </row>
    <row r="442" spans="1:26" s="355" customFormat="1">
      <c r="A442" s="136"/>
      <c r="B442" s="139"/>
      <c r="C442" s="137"/>
      <c r="D442" s="235"/>
      <c r="E442" s="136"/>
      <c r="F442" s="136"/>
      <c r="G442" s="138"/>
      <c r="H442" s="136"/>
      <c r="I442" s="136"/>
      <c r="J442" s="136"/>
      <c r="K442" s="136"/>
      <c r="L442" s="136"/>
      <c r="M442" s="136"/>
      <c r="N442" s="136"/>
      <c r="O442" s="161"/>
      <c r="P442" s="136"/>
      <c r="Q442" s="139"/>
      <c r="R442" s="140"/>
      <c r="S442" s="138"/>
      <c r="T442" s="138"/>
      <c r="U442" s="186"/>
      <c r="V442" s="139"/>
      <c r="W442" s="139"/>
      <c r="X442" s="139"/>
      <c r="Y442" s="139"/>
      <c r="Z442" s="139"/>
    </row>
    <row r="443" spans="1:26" s="115" customFormat="1">
      <c r="A443" s="136"/>
      <c r="B443" s="139"/>
      <c r="C443" s="137"/>
      <c r="D443" s="235"/>
      <c r="E443" s="136"/>
      <c r="F443" s="136"/>
      <c r="G443" s="138"/>
      <c r="H443" s="136"/>
      <c r="I443" s="136"/>
      <c r="J443" s="136"/>
      <c r="K443" s="136"/>
      <c r="L443" s="136"/>
      <c r="M443" s="136"/>
      <c r="N443" s="136"/>
      <c r="O443" s="161"/>
      <c r="P443" s="136"/>
      <c r="Q443" s="139"/>
      <c r="R443" s="140"/>
      <c r="S443" s="138"/>
      <c r="T443" s="138"/>
      <c r="U443" s="136"/>
      <c r="V443" s="139"/>
      <c r="W443" s="139"/>
      <c r="X443" s="139"/>
      <c r="Y443" s="139"/>
      <c r="Z443" s="139"/>
    </row>
    <row r="444" spans="1:26" s="115" customFormat="1">
      <c r="A444" s="136"/>
      <c r="B444" s="139"/>
      <c r="C444" s="137"/>
      <c r="D444" s="235"/>
      <c r="E444" s="136"/>
      <c r="F444" s="136"/>
      <c r="G444" s="138"/>
      <c r="H444" s="136"/>
      <c r="I444" s="136"/>
      <c r="J444" s="136"/>
      <c r="K444" s="136"/>
      <c r="L444" s="136"/>
      <c r="M444" s="136"/>
      <c r="N444" s="136"/>
      <c r="O444" s="161"/>
      <c r="P444" s="136"/>
      <c r="Q444" s="139"/>
      <c r="R444" s="140"/>
      <c r="S444" s="138"/>
      <c r="T444" s="138"/>
      <c r="U444" s="186"/>
      <c r="V444" s="139"/>
      <c r="W444" s="139"/>
      <c r="X444" s="139"/>
      <c r="Y444" s="139"/>
      <c r="Z444" s="139"/>
    </row>
    <row r="445" spans="1:26" s="115" customFormat="1">
      <c r="A445" s="141" t="s">
        <v>1156</v>
      </c>
      <c r="B445" s="161"/>
      <c r="C445" s="137"/>
      <c r="D445" s="137"/>
      <c r="E445" s="136"/>
      <c r="F445" s="136"/>
      <c r="G445" s="138"/>
      <c r="H445" s="136"/>
      <c r="I445" s="136"/>
      <c r="J445" s="136"/>
      <c r="K445" s="136"/>
      <c r="L445" s="136"/>
      <c r="M445" s="136"/>
      <c r="N445" s="136"/>
      <c r="O445" s="161"/>
      <c r="P445" s="136"/>
      <c r="Q445" s="139"/>
      <c r="R445" s="140"/>
      <c r="S445" s="138"/>
      <c r="T445" s="138"/>
      <c r="U445" s="587"/>
      <c r="V445" s="139"/>
      <c r="W445" s="139"/>
      <c r="X445" s="139"/>
      <c r="Y445" s="139"/>
      <c r="Z445" s="139"/>
    </row>
    <row r="446" spans="1:26" s="355" customFormat="1">
      <c r="A446" s="139"/>
      <c r="B446" s="139"/>
      <c r="C446" s="154"/>
      <c r="D446" s="154"/>
      <c r="E446" s="139"/>
      <c r="F446" s="139"/>
      <c r="G446" s="140"/>
      <c r="H446" s="139"/>
      <c r="I446" s="139"/>
      <c r="J446" s="139"/>
      <c r="K446" s="139"/>
      <c r="L446" s="139"/>
      <c r="M446" s="139"/>
      <c r="N446" s="156"/>
      <c r="O446" s="157"/>
      <c r="P446" s="139"/>
      <c r="Q446" s="139"/>
      <c r="R446" s="140"/>
      <c r="S446" s="140"/>
      <c r="T446" s="140"/>
      <c r="U446" s="258"/>
      <c r="V446" s="270"/>
      <c r="W446" s="139"/>
      <c r="X446" s="139"/>
      <c r="Y446" s="139"/>
      <c r="Z446" s="139"/>
    </row>
    <row r="447" spans="1:26" s="372" customFormat="1">
      <c r="A447" s="139"/>
      <c r="B447" s="139"/>
      <c r="C447" s="154"/>
      <c r="D447" s="154"/>
      <c r="E447" s="139"/>
      <c r="F447" s="139"/>
      <c r="G447" s="140"/>
      <c r="H447" s="139"/>
      <c r="I447" s="139"/>
      <c r="J447" s="139"/>
      <c r="K447" s="277"/>
      <c r="L447" s="139"/>
      <c r="M447" s="139"/>
      <c r="N447" s="156"/>
      <c r="O447" s="157"/>
      <c r="P447" s="139"/>
      <c r="Q447" s="139"/>
      <c r="R447" s="140"/>
      <c r="S447" s="140"/>
      <c r="T447" s="140"/>
      <c r="U447" s="258"/>
      <c r="V447" s="263"/>
      <c r="W447" s="139"/>
      <c r="X447" s="269"/>
      <c r="Y447" s="139"/>
      <c r="Z447" s="139"/>
    </row>
    <row r="448" spans="1:26" s="355" customFormat="1" ht="13.2">
      <c r="A448" s="136" t="s">
        <v>1155</v>
      </c>
      <c r="B448" s="522">
        <f>SUM(O405:O448)</f>
        <v>6424</v>
      </c>
      <c r="C448" s="233" t="e">
        <f>B448/B392</f>
        <v>#DIV/0!</v>
      </c>
      <c r="D448" s="141" t="s">
        <v>574</v>
      </c>
      <c r="E448" s="194"/>
      <c r="F448" s="136"/>
      <c r="G448" s="138"/>
      <c r="H448" s="136"/>
      <c r="I448" s="136"/>
      <c r="J448" s="136"/>
      <c r="K448" s="136"/>
      <c r="L448" s="136"/>
      <c r="M448" s="136"/>
      <c r="N448" s="136"/>
      <c r="O448" s="161"/>
      <c r="P448" s="136"/>
      <c r="Q448" s="139"/>
      <c r="R448" s="140"/>
      <c r="S448" s="138"/>
      <c r="T448" s="138"/>
      <c r="U448" s="587"/>
      <c r="V448" s="139"/>
      <c r="W448" s="139"/>
      <c r="X448" s="139"/>
      <c r="Y448" s="139"/>
      <c r="Z448" s="139"/>
    </row>
    <row r="449" spans="1:26" s="115" customFormat="1">
      <c r="A449" s="136" t="s">
        <v>463</v>
      </c>
      <c r="B449" s="527">
        <f>SUM(R389:R448)</f>
        <v>5</v>
      </c>
      <c r="C449" s="544">
        <f>B448/B449</f>
        <v>1284.8</v>
      </c>
      <c r="D449" s="512" t="s">
        <v>575</v>
      </c>
      <c r="E449" s="139"/>
      <c r="F449" s="136"/>
      <c r="G449" s="138"/>
      <c r="H449" s="136"/>
      <c r="I449" s="136"/>
      <c r="J449" s="136"/>
      <c r="K449" s="136"/>
      <c r="L449" s="136"/>
      <c r="M449" s="136"/>
      <c r="N449" s="136"/>
      <c r="O449" s="161"/>
      <c r="P449" s="136"/>
      <c r="Q449" s="139"/>
      <c r="R449" s="140"/>
      <c r="S449" s="138"/>
      <c r="T449" s="138"/>
      <c r="U449" s="587"/>
      <c r="V449" s="139"/>
      <c r="W449" s="139"/>
      <c r="X449" s="139"/>
      <c r="Y449" s="139"/>
      <c r="Z449" s="139"/>
    </row>
    <row r="450" spans="1:26" s="355" customFormat="1">
      <c r="A450" s="136"/>
      <c r="B450" s="136"/>
      <c r="C450" s="137"/>
      <c r="D450" s="512" t="s">
        <v>576</v>
      </c>
      <c r="E450" s="139"/>
      <c r="F450" s="136"/>
      <c r="G450" s="138"/>
      <c r="H450" s="136"/>
      <c r="I450" s="136"/>
      <c r="J450" s="136"/>
      <c r="K450" s="136"/>
      <c r="L450" s="136"/>
      <c r="M450" s="136"/>
      <c r="N450" s="136"/>
      <c r="O450" s="161"/>
      <c r="P450" s="136"/>
      <c r="Q450" s="139"/>
      <c r="R450" s="140"/>
      <c r="S450" s="138"/>
      <c r="T450" s="138"/>
      <c r="U450" s="186"/>
      <c r="V450" s="139"/>
      <c r="W450" s="139"/>
      <c r="X450" s="139"/>
      <c r="Y450" s="139"/>
      <c r="Z450" s="139"/>
    </row>
    <row r="451" spans="1:26" s="115" customFormat="1">
      <c r="A451" s="136" t="s">
        <v>464</v>
      </c>
      <c r="B451" s="533">
        <f>537.56*12</f>
        <v>6450.7199999999993</v>
      </c>
      <c r="C451" s="137"/>
      <c r="D451" s="512" t="s">
        <v>677</v>
      </c>
      <c r="E451" s="139"/>
      <c r="F451" s="136"/>
      <c r="G451" s="138"/>
      <c r="H451" s="136"/>
      <c r="I451" s="136"/>
      <c r="J451" s="136"/>
      <c r="K451" s="136"/>
      <c r="L451" s="136"/>
      <c r="M451" s="136"/>
      <c r="N451" s="136"/>
      <c r="O451" s="161"/>
      <c r="P451" s="136"/>
      <c r="Q451" s="139"/>
      <c r="R451" s="140"/>
      <c r="S451" s="138"/>
      <c r="T451" s="138"/>
      <c r="U451" s="136"/>
      <c r="V451" s="139"/>
      <c r="W451" s="139"/>
      <c r="X451" s="139"/>
      <c r="Y451" s="139"/>
      <c r="Z451" s="139"/>
    </row>
    <row r="452" spans="1:26" s="355" customFormat="1">
      <c r="A452" s="136"/>
      <c r="B452" s="136"/>
      <c r="C452" s="137"/>
      <c r="D452" s="512" t="s">
        <v>577</v>
      </c>
      <c r="E452" s="139"/>
      <c r="F452" s="136"/>
      <c r="G452" s="138"/>
      <c r="H452" s="136"/>
      <c r="I452" s="136"/>
      <c r="J452" s="136"/>
      <c r="K452" s="136"/>
      <c r="L452" s="136"/>
      <c r="M452" s="136"/>
      <c r="N452" s="136"/>
      <c r="O452" s="161"/>
      <c r="P452" s="136"/>
      <c r="Q452" s="139"/>
      <c r="R452" s="140"/>
      <c r="S452" s="138"/>
      <c r="T452" s="138"/>
      <c r="U452" s="186"/>
      <c r="V452" s="139"/>
      <c r="W452" s="139"/>
      <c r="X452" s="139"/>
      <c r="Y452" s="139"/>
      <c r="Z452" s="139"/>
    </row>
    <row r="453" spans="1:26" s="355" customFormat="1">
      <c r="A453" s="136" t="s">
        <v>1236</v>
      </c>
      <c r="B453" s="161">
        <f>B448-B451-E454</f>
        <v>-26.719999999999345</v>
      </c>
      <c r="C453" s="137"/>
      <c r="D453" s="512" t="s">
        <v>578</v>
      </c>
      <c r="E453" s="139"/>
      <c r="F453" s="136"/>
      <c r="G453" s="138"/>
      <c r="H453" s="136"/>
      <c r="I453" s="136"/>
      <c r="J453" s="136"/>
      <c r="K453" s="136"/>
      <c r="L453" s="161"/>
      <c r="M453" s="136"/>
      <c r="N453" s="136"/>
      <c r="O453" s="161"/>
      <c r="P453" s="136"/>
      <c r="Q453" s="139"/>
      <c r="R453" s="140"/>
      <c r="S453" s="138"/>
      <c r="T453" s="138"/>
      <c r="U453" s="186"/>
      <c r="V453" s="139"/>
      <c r="W453" s="139"/>
      <c r="X453" s="139"/>
      <c r="Y453" s="139"/>
      <c r="Z453" s="139"/>
    </row>
    <row r="454" spans="1:26" s="392" customFormat="1">
      <c r="A454" s="136" t="s">
        <v>466</v>
      </c>
      <c r="B454" s="161">
        <f>B448/12</f>
        <v>535.33333333333337</v>
      </c>
      <c r="C454" s="137"/>
      <c r="D454" s="235" t="s">
        <v>585</v>
      </c>
      <c r="E454" s="533">
        <f>SUM(E449:E453)</f>
        <v>0</v>
      </c>
      <c r="F454" s="136"/>
      <c r="G454" s="138"/>
      <c r="H454" s="136"/>
      <c r="I454" s="136"/>
      <c r="J454" s="136"/>
      <c r="K454" s="136"/>
      <c r="L454" s="136"/>
      <c r="M454" s="136"/>
      <c r="N454" s="136"/>
      <c r="O454" s="161"/>
      <c r="P454" s="136"/>
      <c r="Q454" s="139"/>
      <c r="R454" s="140"/>
      <c r="S454" s="138"/>
      <c r="T454" s="138"/>
      <c r="U454" s="186"/>
      <c r="V454" s="139"/>
      <c r="W454" s="139"/>
      <c r="X454" s="139"/>
      <c r="Y454" s="139"/>
      <c r="Z454" s="139"/>
    </row>
    <row r="455" spans="1:26" s="383" customFormat="1">
      <c r="A455" s="139"/>
      <c r="B455" s="139"/>
      <c r="C455" s="154"/>
      <c r="D455" s="154"/>
      <c r="E455" s="139"/>
      <c r="F455" s="139"/>
      <c r="G455" s="140"/>
      <c r="H455" s="139"/>
      <c r="I455" s="139"/>
      <c r="J455" s="139"/>
      <c r="K455" s="139"/>
      <c r="L455" s="139"/>
      <c r="M455" s="139"/>
      <c r="N455" s="139"/>
      <c r="O455" s="213"/>
      <c r="P455" s="139"/>
      <c r="Q455" s="139"/>
      <c r="R455" s="140"/>
      <c r="S455" s="140"/>
      <c r="T455" s="140"/>
      <c r="U455" s="139"/>
      <c r="V455" s="139"/>
      <c r="W455" s="139"/>
      <c r="X455" s="139"/>
      <c r="Y455" s="139"/>
      <c r="Z455" s="139"/>
    </row>
    <row r="456" spans="1:26" s="408" customFormat="1">
      <c r="A456" s="139"/>
      <c r="B456" s="139"/>
      <c r="C456" s="154"/>
      <c r="D456" s="154"/>
      <c r="E456" s="139"/>
      <c r="F456" s="139"/>
      <c r="G456" s="140"/>
      <c r="H456" s="139"/>
      <c r="I456" s="139"/>
      <c r="J456" s="139"/>
      <c r="K456" s="139"/>
      <c r="L456" s="139"/>
      <c r="M456" s="139"/>
      <c r="N456" s="139"/>
      <c r="O456" s="157"/>
      <c r="P456" s="139"/>
      <c r="Q456" s="139"/>
      <c r="R456" s="140"/>
      <c r="S456" s="140"/>
      <c r="T456" s="140"/>
      <c r="U456" s="139"/>
      <c r="V456" s="139"/>
      <c r="W456" s="139"/>
      <c r="X456" s="139"/>
      <c r="Y456" s="139"/>
      <c r="Z456" s="139"/>
    </row>
    <row r="457" spans="1:26" s="355" customFormat="1">
      <c r="A457" s="141" t="s">
        <v>1302</v>
      </c>
      <c r="B457" s="161"/>
      <c r="C457" s="137"/>
      <c r="D457" s="137"/>
      <c r="E457" s="136"/>
      <c r="F457" s="136"/>
      <c r="G457" s="138"/>
      <c r="H457" s="136"/>
      <c r="I457" s="136"/>
      <c r="J457" s="136"/>
      <c r="K457" s="136"/>
      <c r="L457" s="136"/>
      <c r="M457" s="136"/>
      <c r="N457" s="136"/>
      <c r="O457" s="161"/>
      <c r="P457" s="136"/>
      <c r="Q457" s="139"/>
      <c r="R457" s="140"/>
      <c r="S457" s="138"/>
      <c r="T457" s="138"/>
      <c r="U457" s="587"/>
      <c r="V457" s="139"/>
      <c r="W457" s="139"/>
      <c r="X457" s="139"/>
      <c r="Y457" s="139"/>
      <c r="Z457" s="139"/>
    </row>
    <row r="458" spans="1:26" s="372" customFormat="1">
      <c r="A458" s="139"/>
      <c r="B458" s="139"/>
      <c r="C458" s="154"/>
      <c r="D458" s="154"/>
      <c r="E458" s="139"/>
      <c r="F458" s="139"/>
      <c r="G458" s="140"/>
      <c r="H458" s="139"/>
      <c r="I458" s="139"/>
      <c r="J458" s="139"/>
      <c r="K458" s="139"/>
      <c r="L458" s="139"/>
      <c r="M458" s="139"/>
      <c r="N458" s="156"/>
      <c r="O458" s="157"/>
      <c r="P458" s="139"/>
      <c r="Q458" s="139"/>
      <c r="R458" s="140"/>
      <c r="S458" s="140"/>
      <c r="T458" s="140"/>
      <c r="U458" s="258"/>
      <c r="V458" s="270"/>
      <c r="W458" s="139"/>
      <c r="X458" s="139"/>
      <c r="Y458" s="139"/>
      <c r="Z458" s="139"/>
    </row>
    <row r="459" spans="1:26" s="194" customFormat="1" ht="13.8" thickBot="1">
      <c r="A459" s="143"/>
      <c r="B459" s="143"/>
      <c r="C459" s="144"/>
      <c r="D459" s="144"/>
      <c r="E459" s="143"/>
      <c r="F459" s="143"/>
      <c r="G459" s="145"/>
      <c r="H459" s="143"/>
      <c r="I459" s="143"/>
      <c r="J459" s="143"/>
      <c r="K459" s="143"/>
      <c r="L459" s="143"/>
      <c r="M459" s="143"/>
      <c r="N459" s="147"/>
      <c r="O459" s="148"/>
      <c r="P459" s="143"/>
      <c r="Q459" s="143"/>
      <c r="R459" s="145"/>
      <c r="S459" s="145"/>
      <c r="T459" s="145"/>
      <c r="U459" s="586"/>
      <c r="V459" s="238"/>
      <c r="W459" s="143"/>
      <c r="X459" s="143"/>
      <c r="Y459" s="143"/>
      <c r="Z459" s="143"/>
    </row>
    <row r="460" spans="1:26" ht="10.8" thickBot="1">
      <c r="A460" s="167"/>
      <c r="B460" s="534"/>
      <c r="C460" s="144"/>
      <c r="D460" s="562"/>
      <c r="E460" s="534"/>
      <c r="F460" s="143"/>
      <c r="G460" s="145"/>
      <c r="H460" s="143"/>
      <c r="I460" s="143"/>
      <c r="J460" s="143"/>
      <c r="K460" s="143"/>
      <c r="L460" s="143"/>
      <c r="M460" s="143"/>
      <c r="N460" s="147"/>
      <c r="O460" s="148"/>
      <c r="P460" s="143"/>
      <c r="Q460" s="143"/>
      <c r="R460" s="145"/>
      <c r="S460" s="145"/>
      <c r="T460" s="145"/>
      <c r="U460" s="586"/>
      <c r="V460" s="238"/>
      <c r="W460" s="143"/>
      <c r="X460" s="143"/>
      <c r="Y460" s="143"/>
      <c r="Z460" s="143"/>
    </row>
    <row r="461" spans="1:26" ht="10.8" thickBot="1">
      <c r="A461" s="207"/>
      <c r="B461" s="529"/>
      <c r="C461" s="546"/>
      <c r="D461" s="558"/>
      <c r="E461" s="530"/>
      <c r="F461" s="143"/>
      <c r="G461" s="145"/>
      <c r="H461" s="143"/>
      <c r="I461" s="143"/>
      <c r="J461" s="143"/>
      <c r="K461" s="143"/>
      <c r="L461" s="143"/>
      <c r="M461" s="143"/>
      <c r="N461" s="147"/>
      <c r="O461" s="148"/>
      <c r="P461" s="143"/>
      <c r="Q461" s="143"/>
      <c r="R461" s="145"/>
      <c r="S461" s="145"/>
      <c r="T461" s="145"/>
      <c r="U461" s="586"/>
      <c r="V461" s="238"/>
      <c r="W461" s="143"/>
      <c r="X461" s="143"/>
      <c r="Y461" s="143"/>
      <c r="Z461" s="143"/>
    </row>
    <row r="462" spans="1:26" ht="10.8" thickBot="1">
      <c r="A462" s="143"/>
      <c r="B462" s="143"/>
      <c r="C462" s="144"/>
      <c r="D462" s="558"/>
      <c r="E462" s="530"/>
      <c r="F462" s="143"/>
      <c r="G462" s="145"/>
      <c r="H462" s="143"/>
      <c r="I462" s="143"/>
      <c r="J462" s="143"/>
      <c r="K462" s="143"/>
      <c r="L462" s="143"/>
      <c r="M462" s="143"/>
      <c r="N462" s="147"/>
      <c r="O462" s="148"/>
      <c r="P462" s="143"/>
      <c r="Q462" s="143"/>
      <c r="R462" s="145"/>
      <c r="S462" s="145"/>
      <c r="T462" s="145"/>
      <c r="U462" s="586"/>
      <c r="V462" s="238"/>
      <c r="W462" s="143"/>
      <c r="X462" s="143"/>
      <c r="Y462" s="143"/>
      <c r="Z462" s="143"/>
    </row>
    <row r="463" spans="1:26" ht="10.8" thickBot="1">
      <c r="A463" s="167"/>
      <c r="B463" s="534"/>
      <c r="C463" s="144"/>
      <c r="D463" s="558"/>
      <c r="E463" s="530"/>
      <c r="F463" s="143"/>
      <c r="G463" s="145"/>
      <c r="H463" s="143"/>
      <c r="I463" s="143"/>
      <c r="J463" s="143"/>
      <c r="K463" s="143"/>
      <c r="L463" s="143"/>
      <c r="M463" s="143"/>
      <c r="N463" s="147"/>
      <c r="O463" s="148"/>
      <c r="P463" s="143"/>
      <c r="Q463" s="143"/>
      <c r="R463" s="145"/>
      <c r="S463" s="145"/>
      <c r="T463" s="145"/>
      <c r="U463" s="586"/>
      <c r="V463" s="238"/>
      <c r="W463" s="143"/>
      <c r="X463" s="143"/>
      <c r="Y463" s="143"/>
      <c r="Z463" s="143"/>
    </row>
    <row r="464" spans="1:26" ht="10.8" thickBot="1">
      <c r="A464" s="711"/>
      <c r="B464" s="724"/>
      <c r="C464" s="144"/>
      <c r="D464" s="558"/>
      <c r="E464" s="530"/>
      <c r="F464" s="143"/>
      <c r="G464" s="145"/>
      <c r="H464" s="143"/>
      <c r="I464" s="143"/>
      <c r="J464" s="143"/>
      <c r="K464" s="143"/>
      <c r="L464" s="143"/>
      <c r="M464" s="143"/>
      <c r="N464" s="147"/>
      <c r="O464" s="148"/>
      <c r="P464" s="143"/>
      <c r="Q464" s="143"/>
      <c r="R464" s="145"/>
      <c r="S464" s="145"/>
      <c r="T464" s="145"/>
      <c r="U464" s="586"/>
      <c r="V464" s="238"/>
      <c r="W464" s="143"/>
      <c r="X464" s="143"/>
      <c r="Y464" s="143"/>
      <c r="Z464" s="143"/>
    </row>
    <row r="465" spans="1:26" ht="10.8" thickBot="1">
      <c r="A465" s="142"/>
      <c r="B465" s="530"/>
      <c r="C465" s="144"/>
      <c r="D465" s="559"/>
      <c r="E465" s="529"/>
      <c r="F465" s="143"/>
      <c r="G465" s="145"/>
      <c r="H465" s="143"/>
      <c r="I465" s="143"/>
      <c r="J465" s="143"/>
      <c r="K465" s="143"/>
      <c r="L465" s="143"/>
      <c r="M465" s="143"/>
      <c r="N465" s="147"/>
      <c r="O465" s="148"/>
      <c r="P465" s="143"/>
      <c r="Q465" s="143"/>
      <c r="R465" s="145"/>
      <c r="S465" s="145"/>
      <c r="T465" s="145"/>
      <c r="U465" s="586"/>
      <c r="V465" s="238"/>
      <c r="W465" s="143"/>
      <c r="X465" s="143"/>
      <c r="Y465" s="143"/>
      <c r="Z465" s="143"/>
    </row>
    <row r="466" spans="1:26" ht="10.8" thickBot="1">
      <c r="A466" s="207"/>
      <c r="B466" s="529"/>
      <c r="C466" s="144"/>
      <c r="D466" s="559"/>
      <c r="E466" s="529"/>
      <c r="F466" s="143"/>
      <c r="G466" s="145"/>
      <c r="H466" s="143"/>
      <c r="I466" s="143"/>
      <c r="J466" s="143"/>
      <c r="K466" s="143"/>
      <c r="L466" s="143"/>
      <c r="M466" s="143"/>
      <c r="N466" s="151"/>
      <c r="O466" s="148"/>
      <c r="P466" s="143"/>
      <c r="Q466" s="143"/>
      <c r="R466" s="145"/>
      <c r="S466" s="145"/>
      <c r="T466" s="145"/>
      <c r="U466" s="586"/>
      <c r="V466" s="238"/>
      <c r="W466" s="143"/>
      <c r="X466" s="143"/>
      <c r="Y466" s="143"/>
      <c r="Z466" s="143"/>
    </row>
    <row r="467" spans="1:26">
      <c r="K467" s="277"/>
      <c r="N467" s="156"/>
      <c r="O467" s="157"/>
      <c r="U467" s="595"/>
      <c r="V467" s="263"/>
      <c r="X467" s="269"/>
    </row>
    <row r="468" spans="1:26" ht="13.2">
      <c r="A468" s="187" t="s">
        <v>1303</v>
      </c>
      <c r="B468" s="522">
        <f>SUM(O413:O468)</f>
        <v>3944</v>
      </c>
      <c r="C468" s="289" t="e">
        <f>B468/B404</f>
        <v>#DIV/0!</v>
      </c>
      <c r="D468" s="141" t="s">
        <v>574</v>
      </c>
      <c r="E468" s="194"/>
      <c r="F468" s="136"/>
      <c r="G468" s="138"/>
      <c r="H468" s="136"/>
      <c r="I468" s="136"/>
      <c r="J468" s="136"/>
      <c r="K468" s="136"/>
      <c r="L468" s="136"/>
      <c r="M468" s="136"/>
      <c r="N468" s="136"/>
      <c r="O468" s="161"/>
      <c r="P468" s="136"/>
      <c r="S468" s="138"/>
      <c r="T468" s="138"/>
      <c r="U468" s="587"/>
    </row>
    <row r="469" spans="1:26">
      <c r="A469" s="187" t="s">
        <v>463</v>
      </c>
      <c r="B469" s="536">
        <f>SUM(R397:R468)</f>
        <v>2</v>
      </c>
      <c r="C469" s="544">
        <f>B468/B469</f>
        <v>1972</v>
      </c>
      <c r="D469" s="512" t="s">
        <v>575</v>
      </c>
      <c r="F469" s="136"/>
      <c r="G469" s="138"/>
      <c r="H469" s="136"/>
      <c r="I469" s="136"/>
      <c r="J469" s="136"/>
      <c r="K469" s="136"/>
      <c r="L469" s="136"/>
      <c r="M469" s="136"/>
      <c r="N469" s="136"/>
      <c r="O469" s="161"/>
      <c r="P469" s="136"/>
      <c r="S469" s="138"/>
      <c r="T469" s="138"/>
      <c r="U469" s="587"/>
    </row>
    <row r="470" spans="1:26" s="335" customFormat="1" ht="13.2">
      <c r="A470" s="136"/>
      <c r="B470" s="136"/>
      <c r="C470" s="137"/>
      <c r="D470" s="512" t="s">
        <v>576</v>
      </c>
      <c r="E470" s="139"/>
      <c r="F470" s="136"/>
      <c r="G470" s="138"/>
      <c r="H470" s="136"/>
      <c r="I470" s="136"/>
      <c r="J470" s="136"/>
      <c r="K470" s="136"/>
      <c r="L470" s="136"/>
      <c r="M470" s="136"/>
      <c r="N470" s="136"/>
      <c r="O470" s="161"/>
      <c r="P470" s="136"/>
      <c r="Q470" s="139"/>
      <c r="R470" s="140"/>
      <c r="S470" s="138"/>
      <c r="T470" s="138"/>
      <c r="U470" s="136"/>
      <c r="V470" s="139"/>
      <c r="W470" s="139"/>
      <c r="X470" s="139"/>
      <c r="Y470" s="139"/>
      <c r="Z470" s="139"/>
    </row>
    <row r="471" spans="1:26">
      <c r="A471" s="136" t="s">
        <v>464</v>
      </c>
      <c r="B471" s="533">
        <f>537.56*12+5800</f>
        <v>12250.72</v>
      </c>
      <c r="C471" s="137"/>
      <c r="D471" s="512" t="s">
        <v>1304</v>
      </c>
      <c r="F471" s="136"/>
      <c r="G471" s="138"/>
      <c r="H471" s="136"/>
      <c r="I471" s="136"/>
      <c r="J471" s="136"/>
      <c r="K471" s="136"/>
      <c r="L471" s="136"/>
      <c r="M471" s="136"/>
      <c r="N471" s="136"/>
      <c r="O471" s="161"/>
      <c r="P471" s="136"/>
      <c r="S471" s="138"/>
      <c r="T471" s="138"/>
      <c r="U471" s="186"/>
    </row>
    <row r="472" spans="1:26" s="115" customFormat="1">
      <c r="A472" s="136"/>
      <c r="B472" s="136"/>
      <c r="C472" s="137"/>
      <c r="D472" s="512" t="s">
        <v>577</v>
      </c>
      <c r="E472" s="139"/>
      <c r="F472" s="136"/>
      <c r="G472" s="138"/>
      <c r="H472" s="136"/>
      <c r="I472" s="136"/>
      <c r="J472" s="136"/>
      <c r="K472" s="136"/>
      <c r="L472" s="136"/>
      <c r="M472" s="136"/>
      <c r="N472" s="136"/>
      <c r="O472" s="161"/>
      <c r="P472" s="136"/>
      <c r="Q472" s="139"/>
      <c r="R472" s="140"/>
      <c r="S472" s="138"/>
      <c r="T472" s="138"/>
      <c r="U472" s="186"/>
      <c r="V472" s="139"/>
      <c r="W472" s="139"/>
      <c r="X472" s="139"/>
      <c r="Y472" s="139"/>
      <c r="Z472" s="139"/>
    </row>
    <row r="473" spans="1:26" s="8" customFormat="1">
      <c r="A473" s="136" t="s">
        <v>1236</v>
      </c>
      <c r="B473" s="161">
        <f>B468-B471-E474</f>
        <v>-8306.7199999999993</v>
      </c>
      <c r="C473" s="137"/>
      <c r="D473" s="512" t="s">
        <v>578</v>
      </c>
      <c r="E473" s="139"/>
      <c r="F473" s="136"/>
      <c r="G473" s="138"/>
      <c r="H473" s="136"/>
      <c r="I473" s="136"/>
      <c r="J473" s="136"/>
      <c r="K473" s="136"/>
      <c r="L473" s="161"/>
      <c r="M473" s="136"/>
      <c r="N473" s="136"/>
      <c r="O473" s="161"/>
      <c r="P473" s="136"/>
      <c r="Q473" s="139"/>
      <c r="R473" s="140"/>
      <c r="S473" s="138"/>
      <c r="T473" s="138"/>
      <c r="U473" s="186"/>
      <c r="V473" s="139"/>
      <c r="W473" s="139"/>
      <c r="X473" s="139"/>
      <c r="Y473" s="139"/>
      <c r="Z473" s="139"/>
    </row>
    <row r="474" spans="1:26" s="8" customFormat="1">
      <c r="A474" s="136" t="s">
        <v>466</v>
      </c>
      <c r="B474" s="161">
        <f>B468/12</f>
        <v>328.66666666666669</v>
      </c>
      <c r="C474" s="137"/>
      <c r="D474" s="235" t="s">
        <v>585</v>
      </c>
      <c r="E474" s="533">
        <f>SUM(E469:E473)</f>
        <v>0</v>
      </c>
      <c r="F474" s="136"/>
      <c r="G474" s="138"/>
      <c r="H474" s="136"/>
      <c r="I474" s="136"/>
      <c r="J474" s="136"/>
      <c r="K474" s="136"/>
      <c r="L474" s="136"/>
      <c r="M474" s="136"/>
      <c r="N474" s="136"/>
      <c r="O474" s="161"/>
      <c r="P474" s="136"/>
      <c r="Q474" s="139"/>
      <c r="R474" s="140"/>
      <c r="S474" s="138"/>
      <c r="T474" s="138"/>
      <c r="U474" s="186"/>
      <c r="V474" s="139"/>
      <c r="W474" s="139"/>
      <c r="X474" s="139"/>
      <c r="Y474" s="139"/>
      <c r="Z474" s="139"/>
    </row>
    <row r="475" spans="1:26" s="355" customFormat="1">
      <c r="A475" s="139"/>
      <c r="B475" s="161"/>
      <c r="C475" s="137"/>
      <c r="D475" s="137"/>
      <c r="E475" s="136"/>
      <c r="F475" s="136"/>
      <c r="G475" s="138"/>
      <c r="H475" s="136"/>
      <c r="I475" s="136"/>
      <c r="J475" s="136"/>
      <c r="K475" s="136"/>
      <c r="L475" s="136"/>
      <c r="M475" s="136"/>
      <c r="N475" s="136"/>
      <c r="O475" s="161"/>
      <c r="P475" s="136"/>
      <c r="Q475" s="139"/>
      <c r="R475" s="140"/>
      <c r="S475" s="138"/>
      <c r="T475" s="138"/>
      <c r="U475" s="235"/>
      <c r="V475" s="139"/>
      <c r="W475" s="139"/>
      <c r="X475" s="139"/>
      <c r="Y475" s="139"/>
      <c r="Z475" s="139"/>
    </row>
    <row r="476" spans="1:26" s="115" customFormat="1">
      <c r="A476" s="139"/>
      <c r="B476" s="161"/>
      <c r="C476" s="137"/>
      <c r="D476" s="137"/>
      <c r="E476" s="136"/>
      <c r="F476" s="136"/>
      <c r="G476" s="138"/>
      <c r="H476" s="136"/>
      <c r="I476" s="136"/>
      <c r="J476" s="136"/>
      <c r="K476" s="136"/>
      <c r="L476" s="136"/>
      <c r="M476" s="136"/>
      <c r="N476" s="136"/>
      <c r="O476" s="161"/>
      <c r="P476" s="136"/>
      <c r="Q476" s="139"/>
      <c r="R476" s="140"/>
      <c r="S476" s="138"/>
      <c r="T476" s="138"/>
      <c r="U476" s="235"/>
      <c r="V476" s="139"/>
      <c r="W476" s="139"/>
      <c r="X476" s="139"/>
      <c r="Y476" s="139"/>
      <c r="Z476" s="139"/>
    </row>
    <row r="477" spans="1:26" s="355" customFormat="1">
      <c r="A477" s="139"/>
      <c r="B477" s="161"/>
      <c r="C477" s="137"/>
      <c r="D477" s="137"/>
      <c r="E477" s="136"/>
      <c r="F477" s="136"/>
      <c r="G477" s="138"/>
      <c r="H477" s="136"/>
      <c r="I477" s="136"/>
      <c r="J477" s="136"/>
      <c r="K477" s="136"/>
      <c r="L477" s="136"/>
      <c r="M477" s="136"/>
      <c r="N477" s="136"/>
      <c r="O477" s="161"/>
      <c r="P477" s="136"/>
      <c r="Q477" s="139"/>
      <c r="R477" s="140"/>
      <c r="S477" s="138"/>
      <c r="T477" s="138"/>
      <c r="U477" s="587"/>
      <c r="V477" s="139"/>
      <c r="W477" s="139"/>
      <c r="X477" s="139"/>
      <c r="Y477" s="139"/>
      <c r="Z477" s="139"/>
    </row>
    <row r="478" spans="1:26" s="355" customFormat="1">
      <c r="A478" s="139"/>
      <c r="B478" s="161"/>
      <c r="C478" s="137"/>
      <c r="D478" s="137"/>
      <c r="E478" s="136"/>
      <c r="F478" s="136"/>
      <c r="G478" s="138"/>
      <c r="H478" s="136"/>
      <c r="I478" s="136"/>
      <c r="J478" s="136"/>
      <c r="K478" s="136"/>
      <c r="L478" s="136"/>
      <c r="M478" s="136"/>
      <c r="N478" s="136"/>
      <c r="O478" s="161"/>
      <c r="P478" s="136"/>
      <c r="Q478" s="139"/>
      <c r="R478" s="140"/>
      <c r="S478" s="138"/>
      <c r="T478" s="138"/>
      <c r="U478" s="235"/>
      <c r="V478" s="139"/>
      <c r="W478" s="139"/>
      <c r="X478" s="139"/>
      <c r="Y478" s="139"/>
      <c r="Z478" s="139"/>
    </row>
    <row r="479" spans="1:26" s="115" customFormat="1">
      <c r="A479" s="139"/>
      <c r="B479" s="161"/>
      <c r="C479" s="137"/>
      <c r="D479" s="137"/>
      <c r="E479" s="136"/>
      <c r="F479" s="136"/>
      <c r="G479" s="138"/>
      <c r="H479" s="136"/>
      <c r="I479" s="136"/>
      <c r="J479" s="136"/>
      <c r="K479" s="136"/>
      <c r="L479" s="136"/>
      <c r="M479" s="136"/>
      <c r="N479" s="136"/>
      <c r="O479" s="161"/>
      <c r="P479" s="136"/>
      <c r="Q479" s="139"/>
      <c r="R479" s="140"/>
      <c r="S479" s="138"/>
      <c r="T479" s="138"/>
      <c r="U479" s="235"/>
      <c r="V479" s="139"/>
      <c r="W479" s="139"/>
      <c r="X479" s="139"/>
      <c r="Y479" s="139"/>
      <c r="Z479" s="139"/>
    </row>
    <row r="480" spans="1:26" s="451" customFormat="1">
      <c r="A480" s="139"/>
      <c r="B480" s="161"/>
      <c r="C480" s="137"/>
      <c r="D480" s="137"/>
      <c r="E480" s="136"/>
      <c r="F480" s="136"/>
      <c r="G480" s="138"/>
      <c r="H480" s="136"/>
      <c r="I480" s="136"/>
      <c r="J480" s="136"/>
      <c r="K480" s="136"/>
      <c r="L480" s="136"/>
      <c r="M480" s="136"/>
      <c r="N480" s="136"/>
      <c r="O480" s="161"/>
      <c r="P480" s="136"/>
      <c r="Q480" s="139"/>
      <c r="R480" s="140"/>
      <c r="S480" s="138"/>
      <c r="T480" s="138"/>
      <c r="U480" s="235"/>
      <c r="V480" s="139"/>
      <c r="W480" s="139"/>
      <c r="X480" s="139"/>
      <c r="Y480" s="139"/>
      <c r="Z480" s="139"/>
    </row>
    <row r="481" spans="1:26" s="355" customFormat="1">
      <c r="A481" s="139"/>
      <c r="B481" s="161"/>
      <c r="C481" s="137"/>
      <c r="D481" s="137"/>
      <c r="E481" s="136"/>
      <c r="F481" s="136"/>
      <c r="G481" s="138"/>
      <c r="H481" s="136"/>
      <c r="I481" s="136"/>
      <c r="J481" s="136"/>
      <c r="K481" s="136"/>
      <c r="L481" s="136"/>
      <c r="M481" s="136"/>
      <c r="N481" s="136"/>
      <c r="O481" s="161"/>
      <c r="P481" s="136"/>
      <c r="Q481" s="139"/>
      <c r="R481" s="140"/>
      <c r="S481" s="138"/>
      <c r="T481" s="138"/>
      <c r="U481" s="587"/>
      <c r="V481" s="139"/>
      <c r="W481" s="139"/>
      <c r="X481" s="139"/>
      <c r="Y481" s="139"/>
      <c r="Z481" s="139"/>
    </row>
    <row r="482" spans="1:26" s="115" customFormat="1">
      <c r="A482" s="139"/>
      <c r="B482" s="161"/>
      <c r="C482" s="137"/>
      <c r="D482" s="137"/>
      <c r="E482" s="136"/>
      <c r="F482" s="136"/>
      <c r="G482" s="138"/>
      <c r="H482" s="136"/>
      <c r="I482" s="136"/>
      <c r="J482" s="136"/>
      <c r="K482" s="136"/>
      <c r="L482" s="136"/>
      <c r="M482" s="136"/>
      <c r="N482" s="136"/>
      <c r="O482" s="161"/>
      <c r="P482" s="136"/>
      <c r="Q482" s="139"/>
      <c r="R482" s="140"/>
      <c r="S482" s="138"/>
      <c r="T482" s="138"/>
      <c r="U482" s="235"/>
      <c r="V482" s="139"/>
      <c r="W482" s="139"/>
      <c r="X482" s="139"/>
      <c r="Y482" s="139"/>
      <c r="Z482" s="139"/>
    </row>
    <row r="483" spans="1:26" s="355" customFormat="1">
      <c r="A483" s="141"/>
      <c r="B483" s="161"/>
      <c r="C483" s="137"/>
      <c r="D483" s="137"/>
      <c r="E483" s="136"/>
      <c r="F483" s="136"/>
      <c r="G483" s="138"/>
      <c r="H483" s="136"/>
      <c r="I483" s="136"/>
      <c r="J483" s="136"/>
      <c r="K483" s="136"/>
      <c r="L483" s="136"/>
      <c r="M483" s="136"/>
      <c r="N483" s="136"/>
      <c r="O483" s="161"/>
      <c r="P483" s="136"/>
      <c r="Q483" s="139"/>
      <c r="R483" s="140"/>
      <c r="S483" s="138"/>
      <c r="T483" s="138"/>
      <c r="U483" s="235"/>
      <c r="V483" s="139"/>
      <c r="W483" s="139"/>
      <c r="X483" s="139"/>
      <c r="Y483" s="139"/>
      <c r="Z483" s="139"/>
    </row>
    <row r="484" spans="1:26" s="355" customFormat="1">
      <c r="A484" s="141" t="s">
        <v>1461</v>
      </c>
      <c r="B484" s="161"/>
      <c r="C484" s="137"/>
      <c r="D484" s="137"/>
      <c r="E484" s="136"/>
      <c r="F484" s="136"/>
      <c r="G484" s="138"/>
      <c r="H484" s="136"/>
      <c r="I484" s="136"/>
      <c r="J484" s="136"/>
      <c r="K484" s="136"/>
      <c r="L484" s="136"/>
      <c r="M484" s="136"/>
      <c r="N484" s="136"/>
      <c r="O484" s="161"/>
      <c r="P484" s="136"/>
      <c r="Q484" s="139"/>
      <c r="R484" s="140"/>
      <c r="S484" s="138"/>
      <c r="T484" s="138"/>
      <c r="U484" s="235"/>
      <c r="V484" s="139"/>
      <c r="W484" s="139"/>
      <c r="X484" s="139"/>
      <c r="Y484" s="139"/>
      <c r="Z484" s="139"/>
    </row>
    <row r="485" spans="1:26" s="115" customFormat="1">
      <c r="A485" s="139"/>
      <c r="B485" s="139"/>
      <c r="C485" s="154"/>
      <c r="D485" s="154"/>
      <c r="E485" s="139"/>
      <c r="F485" s="139"/>
      <c r="G485" s="140"/>
      <c r="H485" s="139"/>
      <c r="I485" s="139"/>
      <c r="J485" s="139"/>
      <c r="K485" s="139"/>
      <c r="L485" s="139"/>
      <c r="M485" s="139"/>
      <c r="N485" s="156"/>
      <c r="O485" s="157"/>
      <c r="P485" s="139"/>
      <c r="Q485" s="139"/>
      <c r="R485" s="140"/>
      <c r="S485" s="140"/>
      <c r="T485" s="140"/>
      <c r="U485" s="595"/>
      <c r="V485" s="270"/>
      <c r="W485" s="139"/>
      <c r="X485" s="139"/>
      <c r="Y485" s="139"/>
      <c r="Z485" s="139"/>
    </row>
    <row r="486" spans="1:26" s="115" customFormat="1">
      <c r="A486" s="143"/>
      <c r="B486" s="143"/>
      <c r="C486" s="144"/>
      <c r="D486" s="144"/>
      <c r="E486" s="143"/>
      <c r="F486" s="143"/>
      <c r="G486" s="145"/>
      <c r="H486" s="143"/>
      <c r="I486" s="143"/>
      <c r="J486" s="143"/>
      <c r="K486" s="143"/>
      <c r="L486" s="143"/>
      <c r="M486" s="143"/>
      <c r="N486" s="147"/>
      <c r="O486" s="148"/>
      <c r="P486" s="143"/>
      <c r="Q486" s="143"/>
      <c r="R486" s="145"/>
      <c r="S486" s="145"/>
      <c r="T486" s="145"/>
      <c r="U486" s="236"/>
      <c r="V486" s="238"/>
      <c r="W486" s="143"/>
      <c r="X486" s="143"/>
      <c r="Y486" s="143"/>
      <c r="Z486" s="143"/>
    </row>
    <row r="487" spans="1:26" s="115" customFormat="1">
      <c r="A487" s="143"/>
      <c r="B487" s="143"/>
      <c r="C487" s="144"/>
      <c r="D487" s="144"/>
      <c r="E487" s="143"/>
      <c r="F487" s="143"/>
      <c r="G487" s="145"/>
      <c r="H487" s="143"/>
      <c r="I487" s="143"/>
      <c r="J487" s="143"/>
      <c r="K487" s="143"/>
      <c r="L487" s="143"/>
      <c r="M487" s="143"/>
      <c r="N487" s="147"/>
      <c r="O487" s="148"/>
      <c r="P487" s="143"/>
      <c r="Q487" s="143"/>
      <c r="R487" s="145"/>
      <c r="S487" s="145"/>
      <c r="T487" s="145"/>
      <c r="U487" s="236"/>
      <c r="V487" s="238"/>
      <c r="W487" s="143"/>
      <c r="X487" s="143"/>
      <c r="Y487" s="143"/>
      <c r="Z487" s="143"/>
    </row>
    <row r="488" spans="1:26" s="115" customFormat="1">
      <c r="A488" s="143"/>
      <c r="B488" s="143"/>
      <c r="C488" s="144"/>
      <c r="D488" s="144"/>
      <c r="E488" s="143"/>
      <c r="F488" s="143"/>
      <c r="G488" s="145"/>
      <c r="H488" s="143"/>
      <c r="I488" s="143"/>
      <c r="J488" s="143"/>
      <c r="K488" s="143"/>
      <c r="L488" s="143"/>
      <c r="M488" s="143"/>
      <c r="N488" s="151"/>
      <c r="O488" s="148"/>
      <c r="P488" s="143"/>
      <c r="Q488" s="143"/>
      <c r="R488" s="145"/>
      <c r="S488" s="145"/>
      <c r="T488" s="145"/>
      <c r="U488" s="236"/>
      <c r="V488" s="238"/>
      <c r="W488" s="143"/>
      <c r="X488" s="143"/>
      <c r="Y488" s="143"/>
      <c r="Z488" s="143"/>
    </row>
    <row r="489" spans="1:26" s="355" customFormat="1">
      <c r="A489" s="139"/>
      <c r="B489" s="139"/>
      <c r="C489" s="154"/>
      <c r="D489" s="154"/>
      <c r="E489" s="139"/>
      <c r="F489" s="139"/>
      <c r="G489" s="140"/>
      <c r="H489" s="139"/>
      <c r="I489" s="139"/>
      <c r="J489" s="139"/>
      <c r="K489" s="277"/>
      <c r="L489" s="139"/>
      <c r="M489" s="139"/>
      <c r="N489" s="156"/>
      <c r="O489" s="157"/>
      <c r="P489" s="139"/>
      <c r="Q489" s="139"/>
      <c r="R489" s="140"/>
      <c r="S489" s="140"/>
      <c r="T489" s="140"/>
      <c r="U489" s="258"/>
      <c r="V489" s="263"/>
      <c r="W489" s="139"/>
      <c r="X489" s="269"/>
      <c r="Y489" s="139"/>
      <c r="Z489" s="139"/>
    </row>
    <row r="490" spans="1:26" s="291" customFormat="1" ht="13.2">
      <c r="A490" s="136" t="s">
        <v>1574</v>
      </c>
      <c r="B490" s="522">
        <f>SUM(O419:O490)</f>
        <v>3944</v>
      </c>
      <c r="C490" s="289">
        <f>B490/B412</f>
        <v>-0.27670823838442804</v>
      </c>
      <c r="D490" s="141" t="s">
        <v>574</v>
      </c>
      <c r="E490" s="194"/>
      <c r="F490" s="136"/>
      <c r="G490" s="138"/>
      <c r="H490" s="136"/>
      <c r="I490" s="136"/>
      <c r="J490" s="136"/>
      <c r="K490" s="136"/>
      <c r="L490" s="136"/>
      <c r="M490" s="136"/>
      <c r="N490" s="136"/>
      <c r="O490" s="161"/>
      <c r="P490" s="136"/>
      <c r="Q490" s="139"/>
      <c r="R490" s="140"/>
      <c r="S490" s="138"/>
      <c r="T490" s="138"/>
      <c r="U490" s="587"/>
      <c r="V490" s="139"/>
      <c r="W490" s="139"/>
      <c r="X490" s="139"/>
      <c r="Y490" s="139"/>
      <c r="Z490" s="139"/>
    </row>
    <row r="491" spans="1:26" s="355" customFormat="1">
      <c r="A491" s="136" t="s">
        <v>463</v>
      </c>
      <c r="B491" s="536">
        <f>SUM(R406:R490)</f>
        <v>2</v>
      </c>
      <c r="C491" s="544">
        <f>B490/B491</f>
        <v>1972</v>
      </c>
      <c r="D491" s="512" t="s">
        <v>575</v>
      </c>
      <c r="E491" s="139"/>
      <c r="F491" s="136"/>
      <c r="G491" s="138"/>
      <c r="H491" s="136"/>
      <c r="I491" s="136"/>
      <c r="J491" s="136"/>
      <c r="K491" s="136"/>
      <c r="L491" s="136"/>
      <c r="M491" s="136"/>
      <c r="N491" s="136"/>
      <c r="O491" s="161"/>
      <c r="P491" s="136"/>
      <c r="Q491" s="139"/>
      <c r="R491" s="140"/>
      <c r="S491" s="138">
        <v>3270</v>
      </c>
      <c r="T491" s="138"/>
      <c r="U491" s="587"/>
      <c r="V491" s="139">
        <f xml:space="preserve"> 3270/4</f>
        <v>817.5</v>
      </c>
      <c r="W491" s="139"/>
      <c r="X491" s="139"/>
      <c r="Y491" s="139"/>
      <c r="Z491" s="139"/>
    </row>
    <row r="492" spans="1:26" s="498" customFormat="1">
      <c r="A492" s="136"/>
      <c r="B492" s="136"/>
      <c r="C492" s="137"/>
      <c r="D492" s="512" t="s">
        <v>576</v>
      </c>
      <c r="E492" s="139"/>
      <c r="F492" s="136"/>
      <c r="G492" s="138"/>
      <c r="H492" s="136"/>
      <c r="I492" s="136"/>
      <c r="J492" s="136"/>
      <c r="K492" s="139"/>
      <c r="L492" s="136"/>
      <c r="M492" s="136"/>
      <c r="N492" s="136"/>
      <c r="O492" s="161"/>
      <c r="P492" s="136"/>
      <c r="Q492" s="139"/>
      <c r="R492" s="140"/>
      <c r="S492" s="138">
        <v>1190</v>
      </c>
      <c r="T492" s="138">
        <f>S492/4</f>
        <v>297.5</v>
      </c>
      <c r="U492" s="333">
        <f>S492-T492</f>
        <v>892.5</v>
      </c>
      <c r="V492" s="139">
        <f>1190/4*3</f>
        <v>892.5</v>
      </c>
      <c r="W492" s="139"/>
      <c r="X492" s="139"/>
      <c r="Y492" s="139"/>
      <c r="Z492" s="139"/>
    </row>
    <row r="493" spans="1:26" s="115" customFormat="1">
      <c r="A493" s="136" t="s">
        <v>464</v>
      </c>
      <c r="B493" s="537">
        <f>537.56*12</f>
        <v>6450.7199999999993</v>
      </c>
      <c r="C493" s="137"/>
      <c r="D493" s="512" t="s">
        <v>1304</v>
      </c>
      <c r="E493" s="139"/>
      <c r="F493" s="136"/>
      <c r="G493" s="138"/>
      <c r="H493" s="136"/>
      <c r="I493" s="136"/>
      <c r="J493" s="136"/>
      <c r="K493" s="139"/>
      <c r="L493" s="136"/>
      <c r="M493" s="136"/>
      <c r="N493" s="136"/>
      <c r="O493" s="161"/>
      <c r="P493" s="136"/>
      <c r="Q493" s="139"/>
      <c r="R493" s="140"/>
      <c r="S493" s="138">
        <v>1090</v>
      </c>
      <c r="T493" s="138"/>
      <c r="U493" s="186"/>
      <c r="V493" s="139"/>
      <c r="W493" s="139"/>
      <c r="X493" s="139"/>
      <c r="Y493" s="139"/>
      <c r="Z493" s="139"/>
    </row>
    <row r="494" spans="1:26" s="115" customFormat="1">
      <c r="A494" s="136" t="s">
        <v>574</v>
      </c>
      <c r="B494" s="523">
        <f>E496</f>
        <v>6962.6399999999976</v>
      </c>
      <c r="C494" s="137"/>
      <c r="D494" s="512" t="s">
        <v>577</v>
      </c>
      <c r="E494" s="139"/>
      <c r="F494" s="136"/>
      <c r="G494" s="138"/>
      <c r="H494" s="136"/>
      <c r="I494" s="136"/>
      <c r="J494" s="136"/>
      <c r="K494" s="139"/>
      <c r="L494" s="136"/>
      <c r="M494" s="136"/>
      <c r="N494" s="136"/>
      <c r="O494" s="161"/>
      <c r="P494" s="136"/>
      <c r="Q494" s="139"/>
      <c r="R494" s="140"/>
      <c r="S494" s="138">
        <v>990</v>
      </c>
      <c r="T494" s="138"/>
      <c r="U494" s="186"/>
      <c r="V494" s="139"/>
      <c r="W494" s="139"/>
      <c r="X494" s="139"/>
      <c r="Y494" s="139"/>
      <c r="Z494" s="139"/>
    </row>
    <row r="495" spans="1:26" s="355" customFormat="1">
      <c r="A495" s="136" t="s">
        <v>1534</v>
      </c>
      <c r="B495" s="161">
        <f>B490-B493-B494</f>
        <v>-9469.3599999999969</v>
      </c>
      <c r="C495" s="137"/>
      <c r="D495" s="512" t="s">
        <v>578</v>
      </c>
      <c r="E495" s="139"/>
      <c r="F495" s="136"/>
      <c r="G495" s="138"/>
      <c r="H495" s="136"/>
      <c r="I495" s="136"/>
      <c r="J495" s="136"/>
      <c r="K495" s="139"/>
      <c r="L495" s="161"/>
      <c r="M495" s="136"/>
      <c r="N495" s="136"/>
      <c r="O495" s="161"/>
      <c r="P495" s="136"/>
      <c r="Q495" s="139"/>
      <c r="R495" s="140"/>
      <c r="S495" s="138" t="e">
        <f>S492:S494</f>
        <v>#VALUE!</v>
      </c>
      <c r="T495" s="138"/>
      <c r="U495" s="186"/>
      <c r="V495" s="139"/>
      <c r="W495" s="139"/>
      <c r="X495" s="139"/>
      <c r="Y495" s="139"/>
      <c r="Z495" s="139"/>
    </row>
    <row r="496" spans="1:26" s="451" customFormat="1">
      <c r="A496" s="136" t="s">
        <v>466</v>
      </c>
      <c r="B496" s="161">
        <f>B495/12</f>
        <v>-789.11333333333312</v>
      </c>
      <c r="C496" s="137"/>
      <c r="D496" s="235" t="s">
        <v>585</v>
      </c>
      <c r="E496" s="573">
        <v>6962.6399999999976</v>
      </c>
      <c r="F496" s="136"/>
      <c r="G496" s="138"/>
      <c r="H496" s="136"/>
      <c r="I496" s="136"/>
      <c r="J496" s="136"/>
      <c r="K496" s="139"/>
      <c r="L496" s="136"/>
      <c r="M496" s="136"/>
      <c r="N496" s="136"/>
      <c r="O496" s="161"/>
      <c r="P496" s="136"/>
      <c r="Q496" s="139"/>
      <c r="R496" s="140"/>
      <c r="S496" s="138"/>
      <c r="T496" s="138"/>
      <c r="U496" s="136"/>
      <c r="V496" s="139"/>
      <c r="W496" s="139"/>
      <c r="X496" s="139"/>
      <c r="Y496" s="139"/>
      <c r="Z496" s="139"/>
    </row>
    <row r="497" spans="1:26" s="372" customFormat="1" ht="13.2">
      <c r="A497" s="194"/>
      <c r="B497" s="194"/>
      <c r="C497" s="194"/>
      <c r="D497" s="194"/>
      <c r="E497" s="194"/>
      <c r="F497" s="194"/>
      <c r="G497" s="334"/>
      <c r="H497" s="194"/>
      <c r="I497" s="194"/>
      <c r="J497" s="194"/>
      <c r="K497" s="194"/>
      <c r="L497" s="194"/>
      <c r="M497" s="194"/>
      <c r="N497" s="194"/>
      <c r="O497" s="194"/>
      <c r="P497" s="194"/>
      <c r="Q497" s="194"/>
      <c r="R497" s="334"/>
      <c r="S497" s="334"/>
      <c r="T497" s="334"/>
      <c r="U497" s="571"/>
      <c r="V497" s="194"/>
      <c r="W497" s="194"/>
      <c r="X497" s="194"/>
      <c r="Y497" s="194"/>
      <c r="Z497" s="194"/>
    </row>
    <row r="498" spans="1:26" s="8" customFormat="1" ht="13.2">
      <c r="A498" s="335"/>
      <c r="B498" s="335"/>
      <c r="C498" s="335"/>
      <c r="D498" s="335"/>
      <c r="E498" s="335"/>
      <c r="F498" s="335"/>
      <c r="G498" s="336"/>
      <c r="H498" s="335"/>
      <c r="I498" s="335"/>
      <c r="J498" s="335"/>
      <c r="K498" s="335"/>
      <c r="L498" s="335"/>
      <c r="M498" s="335"/>
      <c r="N498" s="335"/>
      <c r="O498" s="335"/>
      <c r="P498" s="335"/>
      <c r="Q498" s="335"/>
      <c r="R498" s="336"/>
      <c r="S498" s="336"/>
      <c r="T498" s="336"/>
      <c r="U498" s="574"/>
      <c r="V498" s="335"/>
      <c r="W498" s="335"/>
      <c r="X498" s="335"/>
      <c r="Y498" s="335"/>
      <c r="Z498" s="335"/>
    </row>
    <row r="499" spans="1:26" s="8" customFormat="1" ht="13.2">
      <c r="A499" s="335"/>
      <c r="B499" s="335"/>
      <c r="C499" s="335"/>
      <c r="D499" s="335"/>
      <c r="E499" s="335"/>
      <c r="F499" s="335"/>
      <c r="G499" s="336"/>
      <c r="H499" s="335"/>
      <c r="I499" s="335"/>
      <c r="J499" s="335"/>
      <c r="K499" s="335"/>
      <c r="L499" s="335"/>
      <c r="M499" s="335"/>
      <c r="N499" s="335"/>
      <c r="O499" s="335"/>
      <c r="P499" s="335"/>
      <c r="Q499" s="335"/>
      <c r="R499" s="336"/>
      <c r="S499" s="336"/>
      <c r="T499" s="336"/>
      <c r="U499" s="335"/>
      <c r="V499" s="335"/>
      <c r="W499" s="335"/>
      <c r="X499" s="335"/>
      <c r="Y499" s="335"/>
      <c r="Z499" s="335"/>
    </row>
    <row r="500" spans="1:26" s="8" customFormat="1" ht="13.2">
      <c r="A500" s="335"/>
      <c r="B500" s="335"/>
      <c r="C500" s="335"/>
      <c r="D500" s="335"/>
      <c r="E500" s="335"/>
      <c r="F500" s="335"/>
      <c r="G500" s="336"/>
      <c r="H500" s="335"/>
      <c r="I500" s="335"/>
      <c r="J500" s="335"/>
      <c r="K500" s="335"/>
      <c r="L500" s="335"/>
      <c r="M500" s="335"/>
      <c r="N500" s="335"/>
      <c r="O500" s="335"/>
      <c r="P500" s="335"/>
      <c r="Q500" s="335"/>
      <c r="R500" s="336"/>
      <c r="S500" s="336"/>
      <c r="T500" s="336"/>
      <c r="U500" s="335"/>
      <c r="V500" s="335"/>
      <c r="W500" s="335"/>
      <c r="X500" s="335"/>
      <c r="Y500" s="335"/>
      <c r="Z500" s="335"/>
    </row>
    <row r="501" spans="1:26" ht="13.2">
      <c r="A501" s="141" t="s">
        <v>1575</v>
      </c>
      <c r="B501" s="335"/>
      <c r="C501" s="335"/>
      <c r="D501" s="335"/>
      <c r="E501" s="335"/>
      <c r="F501" s="335"/>
      <c r="G501" s="336"/>
      <c r="H501" s="335"/>
      <c r="I501" s="335"/>
      <c r="J501" s="335"/>
      <c r="K501" s="335"/>
      <c r="L501" s="335"/>
      <c r="M501" s="335"/>
      <c r="N501" s="335"/>
      <c r="O501" s="335"/>
      <c r="P501" s="335"/>
      <c r="Q501" s="335"/>
      <c r="R501" s="336"/>
      <c r="S501" s="336"/>
      <c r="T501" s="336"/>
      <c r="U501" s="589">
        <f>U510*3</f>
        <v>0</v>
      </c>
      <c r="V501" s="335"/>
      <c r="W501" s="335"/>
      <c r="X501" s="335"/>
      <c r="Y501" s="335"/>
      <c r="Z501" s="335"/>
    </row>
    <row r="502" spans="1:26" s="194" customFormat="1" ht="13.8" thickBot="1">
      <c r="A502" s="141"/>
      <c r="B502" s="335"/>
      <c r="C502" s="335"/>
      <c r="D502" s="335"/>
      <c r="E502" s="335"/>
      <c r="F502" s="335"/>
      <c r="G502" s="336"/>
      <c r="H502" s="335"/>
      <c r="I502" s="335"/>
      <c r="J502" s="335"/>
      <c r="K502" s="335"/>
      <c r="L502" s="335"/>
      <c r="M502" s="335"/>
      <c r="N502" s="335"/>
      <c r="O502" s="335"/>
      <c r="P502" s="335"/>
      <c r="Q502" s="335"/>
      <c r="R502" s="336"/>
      <c r="S502" s="336"/>
      <c r="T502" s="336"/>
      <c r="U502" s="335"/>
      <c r="V502" s="335"/>
      <c r="W502" s="335"/>
      <c r="X502" s="335"/>
      <c r="Y502" s="335"/>
      <c r="Z502" s="335"/>
    </row>
    <row r="503" spans="1:26" ht="13.8" thickBot="1">
      <c r="A503" s="713"/>
      <c r="B503" s="183"/>
      <c r="D503" s="743"/>
      <c r="E503" s="234"/>
      <c r="G503" s="334"/>
      <c r="K503" s="345"/>
      <c r="L503" s="345"/>
      <c r="N503" s="264"/>
      <c r="O503" s="157"/>
      <c r="U503" s="346"/>
      <c r="V503" s="263"/>
    </row>
    <row r="504" spans="1:26" ht="13.8" thickBot="1">
      <c r="A504" s="515"/>
      <c r="B504" s="190"/>
      <c r="C504" s="736"/>
      <c r="D504" s="744"/>
      <c r="E504" s="571"/>
      <c r="G504" s="334"/>
      <c r="H504" s="347"/>
      <c r="K504" s="345"/>
      <c r="L504" s="345"/>
      <c r="N504" s="264"/>
      <c r="O504" s="157"/>
      <c r="Q504" s="139">
        <f>O489-U489</f>
        <v>0</v>
      </c>
      <c r="U504" s="346"/>
      <c r="V504" s="263"/>
    </row>
    <row r="505" spans="1:26" ht="13.8" thickBot="1">
      <c r="A505" s="194"/>
      <c r="D505" s="744"/>
      <c r="E505" s="571"/>
      <c r="G505" s="334"/>
      <c r="H505" s="347"/>
      <c r="K505" s="345"/>
      <c r="L505" s="345"/>
      <c r="N505" s="264"/>
      <c r="O505" s="157"/>
      <c r="U505" s="346"/>
      <c r="V505" s="263"/>
    </row>
    <row r="506" spans="1:26" ht="13.8" thickBot="1">
      <c r="A506" s="713"/>
      <c r="B506" s="183"/>
      <c r="D506" s="744"/>
      <c r="E506" s="571"/>
      <c r="G506" s="334"/>
      <c r="H506" s="347"/>
      <c r="K506" s="345"/>
      <c r="L506" s="345"/>
      <c r="N506" s="264"/>
      <c r="O506" s="157"/>
      <c r="U506" s="346"/>
      <c r="V506" s="263"/>
    </row>
    <row r="507" spans="1:26" ht="13.8" thickBot="1">
      <c r="A507" s="712"/>
      <c r="B507" s="725"/>
      <c r="C507" s="194"/>
      <c r="D507" s="513"/>
      <c r="E507" s="571"/>
      <c r="F507" s="194"/>
      <c r="G507" s="334"/>
      <c r="H507" s="347"/>
      <c r="I507" s="194"/>
      <c r="J507" s="194"/>
      <c r="K507" s="194"/>
      <c r="L507" s="194"/>
      <c r="M507" s="194"/>
      <c r="N507" s="194"/>
      <c r="O507" s="194"/>
      <c r="P507" s="194"/>
      <c r="Q507" s="194"/>
      <c r="R507" s="334"/>
      <c r="S507" s="334"/>
      <c r="T507" s="334"/>
      <c r="U507" s="194"/>
      <c r="V507" s="348">
        <f>U489/2</f>
        <v>0</v>
      </c>
      <c r="W507" s="194"/>
      <c r="X507" s="194"/>
      <c r="Y507" s="194"/>
      <c r="Z507" s="194"/>
    </row>
    <row r="508" spans="1:26" ht="13.8" thickBot="1">
      <c r="A508" s="187" t="s">
        <v>1576</v>
      </c>
      <c r="B508" s="733">
        <f>SUM(O479:O508)</f>
        <v>0</v>
      </c>
      <c r="C508" s="289" t="e">
        <f>B508/B466</f>
        <v>#DIV/0!</v>
      </c>
      <c r="D508" s="520" t="s">
        <v>574</v>
      </c>
      <c r="E508" s="575"/>
      <c r="F508" s="136"/>
      <c r="G508" s="138"/>
      <c r="H508" s="264"/>
      <c r="I508" s="136"/>
      <c r="J508" s="136"/>
      <c r="K508" s="136"/>
      <c r="L508" s="136"/>
      <c r="M508" s="136"/>
      <c r="N508" s="136"/>
      <c r="O508" s="161"/>
      <c r="P508" s="136"/>
      <c r="S508" s="138"/>
      <c r="T508" s="138"/>
      <c r="U508" s="235"/>
    </row>
    <row r="509" spans="1:26" ht="13.8" thickBot="1">
      <c r="A509" s="160" t="s">
        <v>463</v>
      </c>
      <c r="B509" s="290">
        <f>SUM(R479:R508)</f>
        <v>0</v>
      </c>
      <c r="C509" s="544" t="e">
        <f>B508/B509</f>
        <v>#DIV/0!</v>
      </c>
      <c r="D509" s="189" t="s">
        <v>575</v>
      </c>
      <c r="E509" s="190"/>
      <c r="F509" s="136"/>
      <c r="G509" s="138"/>
      <c r="H509" s="194"/>
      <c r="I509" s="136"/>
      <c r="J509" s="136"/>
      <c r="K509" s="136"/>
      <c r="L509" s="136">
        <f>(3*3*7+1990)-((3*3*7+1990)/4)</f>
        <v>1539.75</v>
      </c>
      <c r="M509" s="136"/>
      <c r="N509" s="136"/>
      <c r="O509" s="161"/>
      <c r="P509" s="136"/>
      <c r="S509" s="138"/>
      <c r="T509" s="138"/>
      <c r="U509" s="235"/>
    </row>
    <row r="510" spans="1:26" ht="12">
      <c r="A510" s="187"/>
      <c r="B510" s="136"/>
      <c r="C510" s="137"/>
      <c r="D510" s="512" t="s">
        <v>576</v>
      </c>
      <c r="F510" s="136"/>
      <c r="G510" s="138"/>
      <c r="H510" s="347"/>
      <c r="I510" s="136"/>
      <c r="J510" s="136"/>
      <c r="L510" s="136"/>
      <c r="M510" s="136"/>
      <c r="N510" s="136"/>
      <c r="O510" s="161">
        <f>O500-U500+3*14</f>
        <v>42</v>
      </c>
      <c r="P510" s="136"/>
      <c r="S510" s="138"/>
      <c r="T510" s="138"/>
      <c r="U510" s="136"/>
    </row>
    <row r="511" spans="1:26" ht="12">
      <c r="A511" s="187" t="s">
        <v>464</v>
      </c>
      <c r="B511" s="537">
        <f>537.56*12</f>
        <v>6450.7199999999993</v>
      </c>
      <c r="C511" s="137"/>
      <c r="D511" s="512" t="s">
        <v>1304</v>
      </c>
      <c r="F511" s="136"/>
      <c r="G511" s="138"/>
      <c r="H511" s="347"/>
      <c r="I511" s="136"/>
      <c r="J511" s="136"/>
      <c r="L511" s="136"/>
      <c r="M511" s="136"/>
      <c r="N511" s="136"/>
      <c r="O511" s="161"/>
      <c r="P511" s="136"/>
      <c r="S511" s="138"/>
      <c r="T511" s="138"/>
      <c r="U511" s="136"/>
    </row>
    <row r="512" spans="1:26" ht="12">
      <c r="A512" s="187" t="s">
        <v>574</v>
      </c>
      <c r="B512" s="523">
        <f>E514</f>
        <v>6962.6399999999976</v>
      </c>
      <c r="C512" s="137"/>
      <c r="D512" s="512" t="s">
        <v>577</v>
      </c>
      <c r="F512" s="136"/>
      <c r="G512" s="138"/>
      <c r="H512" s="347"/>
      <c r="I512" s="136"/>
      <c r="J512" s="136"/>
      <c r="L512" s="136"/>
      <c r="M512" s="136"/>
      <c r="N512" s="136"/>
      <c r="O512" s="161"/>
      <c r="P512" s="136"/>
      <c r="S512" s="138"/>
      <c r="T512" s="138"/>
      <c r="U512" s="136"/>
    </row>
    <row r="513" spans="1:26" ht="12">
      <c r="A513" s="187" t="s">
        <v>1534</v>
      </c>
      <c r="B513" s="161">
        <f>B508-B511-B512</f>
        <v>-13413.359999999997</v>
      </c>
      <c r="C513" s="137"/>
      <c r="D513" s="512" t="s">
        <v>578</v>
      </c>
      <c r="F513" s="136"/>
      <c r="G513" s="138"/>
      <c r="H513" s="347"/>
      <c r="I513" s="136"/>
      <c r="J513" s="136"/>
      <c r="L513" s="161"/>
      <c r="M513" s="136"/>
      <c r="N513" s="136"/>
      <c r="O513" s="161"/>
      <c r="P513" s="136"/>
      <c r="S513" s="138"/>
      <c r="T513" s="138"/>
      <c r="U513" s="136"/>
    </row>
    <row r="514" spans="1:26">
      <c r="A514" s="187" t="s">
        <v>466</v>
      </c>
      <c r="B514" s="161">
        <f>B513/12</f>
        <v>-1117.7799999999997</v>
      </c>
      <c r="C514" s="137"/>
      <c r="D514" s="235" t="s">
        <v>585</v>
      </c>
      <c r="E514" s="573">
        <v>6962.6399999999976</v>
      </c>
      <c r="F514" s="136"/>
      <c r="G514" s="138"/>
      <c r="H514" s="136"/>
      <c r="I514" s="136"/>
      <c r="J514" s="136"/>
      <c r="L514" s="136"/>
      <c r="M514" s="136"/>
      <c r="N514" s="136"/>
      <c r="O514" s="161"/>
      <c r="P514" s="136"/>
      <c r="S514" s="138"/>
      <c r="T514" s="138"/>
      <c r="U514" s="136"/>
    </row>
    <row r="515" spans="1:26">
      <c r="A515" s="153"/>
    </row>
    <row r="516" spans="1:26">
      <c r="A516" s="153"/>
      <c r="C516" s="349"/>
      <c r="D516" s="349"/>
      <c r="K516" s="350"/>
      <c r="N516" s="156"/>
      <c r="O516" s="351"/>
    </row>
    <row r="517" spans="1:26">
      <c r="A517" s="153"/>
      <c r="C517" s="349"/>
      <c r="D517" s="349"/>
      <c r="K517" s="350"/>
      <c r="N517" s="156"/>
      <c r="O517" s="351"/>
    </row>
    <row r="518" spans="1:26" ht="13.2">
      <c r="A518" s="619" t="s">
        <v>1762</v>
      </c>
      <c r="B518" s="335"/>
      <c r="C518" s="335"/>
      <c r="D518" s="335"/>
      <c r="E518" s="335"/>
      <c r="F518" s="335"/>
      <c r="G518" s="336"/>
      <c r="H518" s="335"/>
      <c r="I518" s="335"/>
      <c r="J518" s="335"/>
      <c r="K518" s="335"/>
      <c r="L518" s="335"/>
      <c r="M518" s="335"/>
      <c r="N518" s="335"/>
      <c r="O518" s="335"/>
      <c r="P518" s="335"/>
      <c r="Q518" s="335"/>
      <c r="R518" s="336"/>
      <c r="S518" s="336"/>
      <c r="T518" s="336"/>
      <c r="U518" s="337"/>
      <c r="V518" s="335"/>
      <c r="W518" s="335"/>
      <c r="X518" s="335"/>
      <c r="Y518" s="335"/>
      <c r="Z518" s="335"/>
    </row>
    <row r="519" spans="1:26" ht="13.2">
      <c r="A519" s="513"/>
      <c r="B519" s="194"/>
      <c r="C519" s="194"/>
      <c r="D519" s="194"/>
      <c r="E519" s="194"/>
      <c r="F519" s="194"/>
      <c r="G519" s="334"/>
      <c r="H519" s="347"/>
      <c r="I519" s="194"/>
      <c r="J519" s="194"/>
      <c r="K519" s="194"/>
      <c r="L519" s="194"/>
      <c r="M519" s="194"/>
      <c r="N519" s="194"/>
      <c r="O519" s="194"/>
      <c r="P519" s="194"/>
      <c r="Q519" s="194"/>
      <c r="R519" s="334"/>
      <c r="S519" s="334"/>
      <c r="T519" s="334"/>
      <c r="U519" s="194"/>
      <c r="V519" s="348"/>
      <c r="W519" s="194"/>
      <c r="X519" s="194"/>
      <c r="Y519" s="194"/>
      <c r="Z519" s="194"/>
    </row>
    <row r="520" spans="1:26" ht="13.2">
      <c r="A520" s="187" t="s">
        <v>1763</v>
      </c>
      <c r="B520" s="522">
        <f>SUM(O496:O518)</f>
        <v>42</v>
      </c>
      <c r="C520" s="289" t="e">
        <f>B520/B485</f>
        <v>#DIV/0!</v>
      </c>
      <c r="D520" s="141" t="s">
        <v>574</v>
      </c>
      <c r="E520" s="194"/>
      <c r="F520" s="136"/>
      <c r="G520" s="138"/>
      <c r="H520" s="264"/>
      <c r="I520" s="136"/>
      <c r="J520" s="136"/>
      <c r="K520" s="136"/>
      <c r="L520" s="354"/>
      <c r="M520" s="136"/>
      <c r="N520" s="136"/>
      <c r="O520" s="161"/>
      <c r="P520" s="136"/>
      <c r="S520" s="138"/>
      <c r="T520" s="138"/>
      <c r="U520" s="235"/>
    </row>
    <row r="521" spans="1:26" ht="13.2">
      <c r="A521" s="187" t="s">
        <v>463</v>
      </c>
      <c r="B521" s="527">
        <f>SUM(R496:R519)</f>
        <v>0</v>
      </c>
      <c r="C521" s="544" t="e">
        <f>B520/B521</f>
        <v>#DIV/0!</v>
      </c>
      <c r="D521" s="512" t="s">
        <v>575</v>
      </c>
      <c r="F521" s="136"/>
      <c r="G521" s="138"/>
      <c r="H521" s="194"/>
      <c r="I521" s="136"/>
      <c r="J521" s="136"/>
      <c r="K521" s="347"/>
      <c r="M521" s="136"/>
      <c r="O521" s="161"/>
      <c r="P521" s="136"/>
      <c r="S521" s="138"/>
      <c r="T521" s="138"/>
      <c r="U521" s="235"/>
    </row>
    <row r="522" spans="1:26" s="335" customFormat="1" ht="13.2">
      <c r="A522" s="136"/>
      <c r="B522" s="136"/>
      <c r="C522" s="137"/>
      <c r="D522" s="512" t="s">
        <v>576</v>
      </c>
      <c r="E522" s="139"/>
      <c r="F522" s="136"/>
      <c r="G522" s="138"/>
      <c r="H522" s="347"/>
      <c r="I522" s="136"/>
      <c r="J522" s="136"/>
      <c r="K522" s="347"/>
      <c r="L522" s="369"/>
      <c r="M522" s="136"/>
      <c r="N522" s="139"/>
      <c r="O522" s="161"/>
      <c r="P522" s="136"/>
      <c r="Q522" s="139"/>
      <c r="R522" s="140"/>
      <c r="S522" s="138"/>
      <c r="T522" s="138"/>
      <c r="U522" s="136"/>
      <c r="V522" s="139"/>
      <c r="W522" s="139"/>
      <c r="X522" s="139"/>
      <c r="Y522" s="139"/>
      <c r="Z522" s="139"/>
    </row>
    <row r="523" spans="1:26" s="335" customFormat="1" ht="13.2">
      <c r="A523" s="136" t="s">
        <v>464</v>
      </c>
      <c r="B523" s="537">
        <f>537.56*2</f>
        <v>1075.1199999999999</v>
      </c>
      <c r="C523" s="137"/>
      <c r="D523" s="512" t="s">
        <v>1304</v>
      </c>
      <c r="E523" s="139"/>
      <c r="F523" s="136"/>
      <c r="G523" s="138"/>
      <c r="H523" s="347"/>
      <c r="I523" s="136"/>
      <c r="J523" s="136"/>
      <c r="K523" s="347"/>
      <c r="L523" s="347"/>
      <c r="M523" s="136"/>
      <c r="N523" s="139"/>
      <c r="O523" s="403">
        <f>O505-670</f>
        <v>-670</v>
      </c>
      <c r="P523" s="136"/>
      <c r="Q523" s="139"/>
      <c r="R523" s="140"/>
      <c r="S523" s="138"/>
      <c r="T523" s="138"/>
      <c r="U523" s="136"/>
      <c r="V523" s="139"/>
      <c r="W523" s="139"/>
      <c r="X523" s="139"/>
      <c r="Y523" s="139"/>
      <c r="Z523" s="139"/>
    </row>
    <row r="524" spans="1:26" s="335" customFormat="1" ht="15.6">
      <c r="A524" s="136" t="s">
        <v>574</v>
      </c>
      <c r="B524" s="523">
        <f>E526</f>
        <v>6962.6399999999976</v>
      </c>
      <c r="C524" s="137"/>
      <c r="D524" s="512" t="s">
        <v>577</v>
      </c>
      <c r="E524" s="139"/>
      <c r="F524" s="136"/>
      <c r="G524" s="138"/>
      <c r="H524" s="347"/>
      <c r="I524" s="136"/>
      <c r="J524" s="136"/>
      <c r="K524" s="2"/>
      <c r="L524" s="2"/>
      <c r="M524" s="136"/>
      <c r="N524" s="366"/>
      <c r="O524" s="161"/>
      <c r="P524" s="136"/>
      <c r="Q524" s="139"/>
      <c r="R524" s="140"/>
      <c r="S524" s="138"/>
      <c r="T524" s="138"/>
      <c r="U524" s="136"/>
      <c r="V524" s="139"/>
      <c r="W524" s="139"/>
      <c r="X524" s="139"/>
      <c r="Y524" s="139"/>
      <c r="Z524" s="139"/>
    </row>
    <row r="525" spans="1:26" s="115" customFormat="1" ht="13.2">
      <c r="A525" s="136" t="s">
        <v>1534</v>
      </c>
      <c r="B525" s="161">
        <f>B520-B523-B524</f>
        <v>-7995.7599999999975</v>
      </c>
      <c r="C525" s="137"/>
      <c r="D525" s="512" t="s">
        <v>578</v>
      </c>
      <c r="E525" s="139"/>
      <c r="F525" s="136"/>
      <c r="G525" s="138"/>
      <c r="H525" s="347"/>
      <c r="I525" s="136"/>
      <c r="J525" s="136"/>
      <c r="K525"/>
      <c r="L525"/>
      <c r="M525" s="136"/>
      <c r="N525" s="136"/>
      <c r="O525" s="161"/>
      <c r="P525" s="136"/>
      <c r="Q525" s="139"/>
      <c r="R525" s="140"/>
      <c r="S525" s="138"/>
      <c r="T525" s="138"/>
      <c r="U525" s="136"/>
      <c r="V525" s="139"/>
      <c r="W525" s="139"/>
      <c r="X525" s="139"/>
      <c r="Y525" s="139"/>
      <c r="Z525" s="139"/>
    </row>
    <row r="526" spans="1:26" s="372" customFormat="1" ht="12">
      <c r="A526" s="136" t="s">
        <v>466</v>
      </c>
      <c r="B526" s="161">
        <f>B525/12</f>
        <v>-666.31333333333316</v>
      </c>
      <c r="C526" s="137"/>
      <c r="D526" s="235" t="s">
        <v>585</v>
      </c>
      <c r="E526" s="573">
        <v>6962.6399999999976</v>
      </c>
      <c r="F526" s="136"/>
      <c r="G526" s="138"/>
      <c r="H526" s="136"/>
      <c r="I526" s="136"/>
      <c r="J526" s="136"/>
      <c r="K526" s="347"/>
      <c r="L526" s="347"/>
      <c r="M526" s="136"/>
      <c r="N526" s="136"/>
      <c r="O526" s="161"/>
      <c r="P526" s="136"/>
      <c r="Q526" s="139"/>
      <c r="R526" s="140"/>
      <c r="S526" s="138"/>
      <c r="T526" s="138"/>
      <c r="U526" s="186"/>
      <c r="V526" s="139"/>
      <c r="W526" s="139"/>
      <c r="X526" s="139"/>
      <c r="Y526" s="139"/>
      <c r="Z526" s="139"/>
    </row>
    <row r="527" spans="1:26" s="291" customFormat="1" ht="12">
      <c r="A527" s="139"/>
      <c r="B527" s="139"/>
      <c r="C527" s="154"/>
      <c r="D527" s="154"/>
      <c r="E527" s="139"/>
      <c r="F527" s="139"/>
      <c r="G527" s="140"/>
      <c r="H527" s="139"/>
      <c r="I527" s="139"/>
      <c r="J527" s="139"/>
      <c r="K527" s="347"/>
      <c r="L527" s="347"/>
      <c r="M527" s="139"/>
      <c r="N527" s="139"/>
      <c r="O527" s="139"/>
      <c r="P527" s="139"/>
      <c r="Q527" s="139"/>
      <c r="R527" s="140"/>
      <c r="S527" s="140"/>
      <c r="T527" s="140"/>
      <c r="U527" s="139"/>
      <c r="V527" s="139"/>
      <c r="W527" s="139"/>
      <c r="X527" s="139"/>
      <c r="Y527" s="139"/>
      <c r="Z527" s="139"/>
    </row>
    <row r="528" spans="1:26" s="689" customFormat="1" ht="12">
      <c r="A528" s="139"/>
      <c r="B528" s="139"/>
      <c r="C528" s="349"/>
      <c r="D528" s="349"/>
      <c r="E528" s="139"/>
      <c r="F528" s="139"/>
      <c r="G528" s="140"/>
      <c r="H528" s="139"/>
      <c r="I528" s="139"/>
      <c r="J528" s="139"/>
      <c r="K528" s="347"/>
      <c r="L528" s="347"/>
      <c r="M528" s="139"/>
      <c r="N528" s="156"/>
      <c r="O528" s="351"/>
      <c r="P528" s="139"/>
      <c r="Q528" s="139"/>
      <c r="R528" s="140"/>
      <c r="S528" s="140"/>
      <c r="T528" s="140"/>
      <c r="U528" s="139"/>
      <c r="V528" s="139"/>
      <c r="W528" s="139"/>
      <c r="X528" s="139"/>
      <c r="Y528" s="139"/>
      <c r="Z528" s="139"/>
    </row>
    <row r="529" spans="1:26" s="699" customFormat="1" ht="12">
      <c r="A529" s="139"/>
      <c r="B529" s="139"/>
      <c r="C529" s="349"/>
      <c r="D529" s="349"/>
      <c r="E529" s="139"/>
      <c r="F529" s="139"/>
      <c r="G529" s="140"/>
      <c r="H529" s="139"/>
      <c r="I529" s="139"/>
      <c r="J529" s="139"/>
      <c r="K529" s="347"/>
      <c r="L529" s="347"/>
      <c r="M529" s="139"/>
      <c r="N529" s="450"/>
      <c r="O529" s="351"/>
      <c r="P529" s="139"/>
      <c r="Q529" s="139"/>
      <c r="R529" s="140"/>
      <c r="S529" s="140"/>
      <c r="T529" s="140"/>
      <c r="U529" s="139"/>
      <c r="V529" s="139"/>
      <c r="W529" s="139"/>
      <c r="X529" s="139"/>
      <c r="Y529" s="139"/>
      <c r="Z529" s="139"/>
    </row>
    <row r="530" spans="1:26" s="689" customFormat="1" ht="13.2">
      <c r="A530" s="9" t="s">
        <v>1936</v>
      </c>
      <c r="B530" s="335"/>
      <c r="C530" s="335"/>
      <c r="D530" s="335"/>
      <c r="E530" s="335"/>
      <c r="F530" s="335"/>
      <c r="G530" s="336"/>
      <c r="H530" s="335"/>
      <c r="I530" s="335"/>
      <c r="J530" s="335"/>
      <c r="K530" s="335"/>
      <c r="L530" s="335"/>
      <c r="M530" s="335"/>
      <c r="N530" s="335"/>
      <c r="O530" s="335"/>
      <c r="P530" s="335"/>
      <c r="Q530" s="335"/>
      <c r="R530" s="336"/>
      <c r="S530" s="336"/>
      <c r="T530" s="336"/>
      <c r="U530" s="337"/>
      <c r="V530" s="335"/>
      <c r="W530" s="335"/>
      <c r="X530" s="335"/>
      <c r="Y530" s="335"/>
      <c r="Z530" s="335"/>
    </row>
    <row r="531" spans="1:26" ht="13.2">
      <c r="N531" s="264"/>
      <c r="O531" s="157"/>
      <c r="Q531" s="8"/>
      <c r="U531" s="595"/>
      <c r="V531" s="263"/>
    </row>
    <row r="532" spans="1:26" s="115" customFormat="1">
      <c r="A532" s="8"/>
      <c r="B532" s="8"/>
      <c r="C532" s="31"/>
      <c r="D532" s="31"/>
      <c r="E532" s="8"/>
      <c r="F532" s="8"/>
      <c r="G532" s="132"/>
      <c r="H532" s="8"/>
      <c r="I532" s="8"/>
      <c r="J532" s="8"/>
      <c r="K532" s="8"/>
      <c r="L532" s="8"/>
      <c r="M532" s="8"/>
      <c r="N532" s="49"/>
      <c r="O532" s="12"/>
      <c r="P532" s="8"/>
      <c r="Q532" s="8"/>
      <c r="R532" s="132"/>
      <c r="S532" s="132"/>
      <c r="T532" s="132"/>
      <c r="U532" s="603"/>
      <c r="V532" s="8"/>
      <c r="W532" s="8"/>
      <c r="X532" s="8"/>
      <c r="Y532" s="8"/>
      <c r="Z532" s="8"/>
    </row>
    <row r="533" spans="1:26" s="8" customFormat="1">
      <c r="C533" s="31"/>
      <c r="D533" s="31"/>
      <c r="G533" s="132"/>
      <c r="N533" s="49"/>
      <c r="O533" s="12"/>
      <c r="R533" s="132"/>
      <c r="S533" s="132"/>
      <c r="T533" s="132"/>
      <c r="U533" s="603"/>
    </row>
    <row r="534" spans="1:26" s="115" customFormat="1">
      <c r="A534" s="8"/>
      <c r="B534" s="8"/>
      <c r="C534" s="31"/>
      <c r="D534" s="31"/>
      <c r="E534" s="8"/>
      <c r="F534" s="8"/>
      <c r="G534" s="132"/>
      <c r="H534" s="404"/>
      <c r="I534" s="457"/>
      <c r="J534" s="457"/>
      <c r="K534" s="457"/>
      <c r="L534" s="457"/>
      <c r="M534" s="457"/>
      <c r="N534" s="462"/>
      <c r="O534" s="463"/>
      <c r="P534" s="8"/>
      <c r="Q534" s="8"/>
      <c r="R534" s="132"/>
      <c r="S534" s="132"/>
      <c r="T534" s="132"/>
      <c r="U534" s="603"/>
      <c r="V534" s="86"/>
      <c r="W534" s="8"/>
      <c r="X534" s="8"/>
      <c r="Y534" s="8"/>
      <c r="Z534" s="8"/>
    </row>
    <row r="535" spans="1:26" s="8" customFormat="1" ht="13.2">
      <c r="C535" s="31"/>
      <c r="D535" s="31"/>
      <c r="G535" s="132"/>
      <c r="H535" s="7"/>
      <c r="I535" s="457"/>
      <c r="J535" s="457"/>
      <c r="K535" s="457"/>
      <c r="L535" s="457"/>
      <c r="M535" s="457"/>
      <c r="N535" s="464"/>
      <c r="O535" s="463"/>
      <c r="R535" s="132"/>
      <c r="S535" s="132"/>
      <c r="T535" s="132"/>
      <c r="U535" s="126"/>
      <c r="V535" s="86"/>
    </row>
    <row r="536" spans="1:26" s="689" customFormat="1" ht="13.2">
      <c r="A536" s="8"/>
      <c r="B536" s="8"/>
      <c r="C536" s="31"/>
      <c r="D536" s="31"/>
      <c r="E536" s="8"/>
      <c r="F536" s="8"/>
      <c r="G536" s="132"/>
      <c r="H536" s="7"/>
      <c r="I536" s="457"/>
      <c r="J536" s="457"/>
      <c r="K536" s="457"/>
      <c r="L536" s="457"/>
      <c r="M536" s="457"/>
      <c r="N536" s="465"/>
      <c r="O536" s="463"/>
      <c r="P536" s="8"/>
      <c r="Q536" s="8"/>
      <c r="R536" s="132"/>
      <c r="S536" s="132"/>
      <c r="T536" s="132"/>
      <c r="U536" s="126"/>
      <c r="V536" s="86"/>
      <c r="W536" s="8"/>
      <c r="X536" s="8"/>
      <c r="Y536" s="8"/>
      <c r="Z536" s="8"/>
    </row>
    <row r="537" spans="1:26" s="115" customFormat="1" ht="13.2">
      <c r="A537" s="139"/>
      <c r="B537" s="139"/>
      <c r="C537" s="154"/>
      <c r="D537" s="154"/>
      <c r="E537" s="139"/>
      <c r="F537" s="139"/>
      <c r="G537" s="140"/>
      <c r="H537" s="139"/>
      <c r="I537" s="458"/>
      <c r="J537" s="458"/>
      <c r="K537" s="458"/>
      <c r="L537" s="458"/>
      <c r="M537" s="458"/>
      <c r="N537" s="466"/>
      <c r="O537" s="467"/>
      <c r="P537" s="139"/>
      <c r="Q537" s="139"/>
      <c r="R537" s="140"/>
      <c r="S537" s="140"/>
      <c r="T537" s="140"/>
      <c r="U537" s="603"/>
      <c r="V537" s="139"/>
      <c r="W537" s="139"/>
      <c r="X537" s="8"/>
      <c r="Y537" s="139"/>
      <c r="Z537" s="139"/>
    </row>
    <row r="538" spans="1:26" s="8" customFormat="1" ht="13.2">
      <c r="A538" s="194"/>
      <c r="B538" s="194"/>
      <c r="C538" s="194"/>
      <c r="D538" s="194"/>
      <c r="E538" s="194"/>
      <c r="F538" s="194"/>
      <c r="G538" s="334"/>
      <c r="H538" s="347"/>
      <c r="I538" s="459"/>
      <c r="J538" s="459"/>
      <c r="K538" s="459"/>
      <c r="L538" s="459"/>
      <c r="M538" s="459"/>
      <c r="N538" s="459"/>
      <c r="O538" s="459"/>
      <c r="P538" s="194"/>
      <c r="Q538" s="194"/>
      <c r="R538" s="334"/>
      <c r="S538" s="334"/>
      <c r="T538" s="334"/>
      <c r="U538" s="194"/>
      <c r="V538" s="348"/>
      <c r="W538" s="194"/>
      <c r="X538" s="194"/>
      <c r="Y538" s="194"/>
      <c r="Z538" s="194"/>
    </row>
    <row r="539" spans="1:26" s="8" customFormat="1" ht="13.2">
      <c r="A539" s="7" t="s">
        <v>2015</v>
      </c>
      <c r="B539" s="522">
        <f>SUM(O507:O537)</f>
        <v>-628</v>
      </c>
      <c r="C539" s="289">
        <f>B539/B496</f>
        <v>0.79582991881183118</v>
      </c>
      <c r="D539" s="141" t="s">
        <v>574</v>
      </c>
      <c r="E539" s="194"/>
      <c r="F539" s="136"/>
      <c r="G539" s="138"/>
      <c r="H539" s="264"/>
      <c r="I539" s="468"/>
      <c r="J539" s="468"/>
      <c r="K539" s="468"/>
      <c r="L539" s="460"/>
      <c r="M539" s="468"/>
      <c r="N539" s="468"/>
      <c r="O539" s="468"/>
      <c r="P539" s="136"/>
      <c r="Q539" s="139"/>
      <c r="R539" s="140"/>
      <c r="S539" s="138"/>
      <c r="T539" s="138"/>
      <c r="U539" s="235"/>
      <c r="V539" s="139"/>
      <c r="W539" s="139"/>
      <c r="X539" s="139"/>
      <c r="Y539" s="139"/>
      <c r="Z539" s="139"/>
    </row>
    <row r="540" spans="1:26" s="8" customFormat="1" ht="13.2">
      <c r="A540" s="136" t="s">
        <v>463</v>
      </c>
      <c r="B540" s="527">
        <f>SUM(R507:R538)</f>
        <v>0</v>
      </c>
      <c r="C540" s="544" t="e">
        <f>B539/B540</f>
        <v>#DIV/0!</v>
      </c>
      <c r="D540" s="512" t="s">
        <v>575</v>
      </c>
      <c r="E540" s="139"/>
      <c r="F540" s="136"/>
      <c r="G540" s="138"/>
      <c r="H540" s="194"/>
      <c r="I540" s="468"/>
      <c r="J540" s="468"/>
      <c r="K540" s="469"/>
      <c r="L540" s="458"/>
      <c r="M540" s="468"/>
      <c r="N540" s="458"/>
      <c r="O540" s="468"/>
      <c r="P540" s="136"/>
      <c r="Q540" s="139"/>
      <c r="R540" s="140"/>
      <c r="S540" s="138"/>
      <c r="T540" s="138"/>
      <c r="U540" s="235"/>
      <c r="V540" s="139"/>
      <c r="W540" s="139"/>
      <c r="X540" s="139"/>
      <c r="Y540" s="139"/>
      <c r="Z540" s="139"/>
    </row>
    <row r="541" spans="1:26" s="8" customFormat="1" ht="12">
      <c r="A541" s="136"/>
      <c r="B541" s="136"/>
      <c r="C541" s="137"/>
      <c r="D541" s="512" t="s">
        <v>576</v>
      </c>
      <c r="E541" s="139"/>
      <c r="F541" s="136"/>
      <c r="G541" s="138"/>
      <c r="H541" s="347"/>
      <c r="I541" s="468"/>
      <c r="J541" s="468"/>
      <c r="K541" s="469"/>
      <c r="L541" s="461"/>
      <c r="M541" s="468"/>
      <c r="N541" s="458"/>
      <c r="O541" s="468"/>
      <c r="P541" s="136"/>
      <c r="Q541" s="139"/>
      <c r="R541" s="140"/>
      <c r="S541" s="138"/>
      <c r="T541" s="138"/>
      <c r="U541" s="136"/>
      <c r="V541" s="139"/>
      <c r="W541" s="139"/>
      <c r="X541" s="139"/>
      <c r="Y541" s="139"/>
      <c r="Z541" s="139"/>
    </row>
    <row r="542" spans="1:26" s="8" customFormat="1" ht="13.2" hidden="1">
      <c r="C542" s="31"/>
      <c r="D542" s="31"/>
      <c r="G542" s="132"/>
      <c r="N542" s="2"/>
      <c r="O542" s="12"/>
      <c r="R542" s="132"/>
      <c r="S542" s="132"/>
      <c r="T542" s="132"/>
      <c r="U542" s="85"/>
      <c r="V542" s="86"/>
    </row>
    <row r="543" spans="1:26" s="8" customFormat="1" ht="13.2" hidden="1">
      <c r="C543" s="31"/>
      <c r="D543" s="31"/>
      <c r="G543" s="132"/>
      <c r="N543" s="2"/>
      <c r="O543" s="12"/>
      <c r="R543" s="132"/>
      <c r="S543" s="132"/>
      <c r="T543" s="132"/>
      <c r="U543" s="85"/>
      <c r="V543" s="86"/>
    </row>
    <row r="544" spans="1:26" s="8" customFormat="1" hidden="1">
      <c r="C544" s="31"/>
      <c r="D544" s="31"/>
      <c r="G544" s="132"/>
      <c r="N544" s="49"/>
      <c r="O544" s="12"/>
      <c r="R544" s="132"/>
      <c r="S544" s="132"/>
      <c r="T544" s="132"/>
      <c r="U544" s="85"/>
      <c r="V544" s="86"/>
    </row>
    <row r="545" spans="1:26" ht="13.2" hidden="1">
      <c r="A545" s="8"/>
      <c r="C545" s="31"/>
      <c r="D545" s="31"/>
      <c r="E545" s="8"/>
      <c r="G545" s="132"/>
      <c r="H545" s="8"/>
      <c r="I545" s="8"/>
      <c r="J545" s="8"/>
      <c r="L545" s="8"/>
      <c r="N545" s="2"/>
      <c r="O545" s="157"/>
      <c r="Q545" s="8"/>
      <c r="U545" s="85"/>
      <c r="V545" s="263"/>
      <c r="W545" s="8"/>
    </row>
    <row r="546" spans="1:26" s="8" customFormat="1" hidden="1">
      <c r="C546" s="31"/>
      <c r="D546" s="31"/>
      <c r="G546" s="132"/>
      <c r="N546" s="49"/>
      <c r="O546" s="12"/>
      <c r="R546" s="132"/>
      <c r="S546" s="132"/>
      <c r="T546" s="132"/>
      <c r="U546" s="85"/>
      <c r="V546" s="86"/>
    </row>
    <row r="547" spans="1:26" s="8" customFormat="1" ht="13.2" hidden="1">
      <c r="C547" s="31"/>
      <c r="D547" s="31"/>
      <c r="G547" s="132"/>
      <c r="N547" s="2"/>
      <c r="O547" s="12"/>
      <c r="R547" s="132"/>
      <c r="S547" s="132"/>
      <c r="T547" s="132"/>
      <c r="U547" s="85"/>
      <c r="V547" s="86"/>
    </row>
    <row r="548" spans="1:26" s="8" customFormat="1" ht="13.2" hidden="1">
      <c r="C548" s="31"/>
      <c r="D548" s="31"/>
      <c r="G548" s="132"/>
      <c r="N548" s="2"/>
      <c r="O548" s="12"/>
      <c r="R548" s="132"/>
      <c r="S548" s="132"/>
      <c r="T548" s="132"/>
      <c r="U548" s="85"/>
      <c r="V548" s="86"/>
    </row>
    <row r="549" spans="1:26" s="8" customFormat="1" ht="13.2" hidden="1">
      <c r="C549" s="31"/>
      <c r="D549" s="31"/>
      <c r="G549" s="132"/>
      <c r="N549" s="2"/>
      <c r="O549" s="12"/>
      <c r="R549" s="132"/>
      <c r="S549" s="132"/>
      <c r="T549" s="132"/>
      <c r="U549" s="85"/>
      <c r="V549" s="86"/>
    </row>
    <row r="550" spans="1:26" s="8" customFormat="1" ht="13.2" hidden="1">
      <c r="C550" s="31"/>
      <c r="D550" s="31"/>
      <c r="G550" s="132"/>
      <c r="H550" s="404"/>
      <c r="K550" s="15"/>
      <c r="L550" s="15"/>
      <c r="N550" s="2"/>
      <c r="O550" s="12"/>
      <c r="R550" s="132"/>
      <c r="S550" s="132"/>
      <c r="T550" s="132"/>
      <c r="U550" s="126"/>
      <c r="V550" s="86"/>
    </row>
    <row r="551" spans="1:26" s="8" customFormat="1" hidden="1">
      <c r="C551" s="31"/>
      <c r="D551" s="31"/>
      <c r="G551" s="132"/>
      <c r="H551" s="404"/>
      <c r="K551" s="15"/>
      <c r="L551" s="15"/>
      <c r="N551" s="49"/>
      <c r="O551" s="12"/>
      <c r="R551" s="132"/>
      <c r="S551" s="132"/>
      <c r="T551" s="132"/>
      <c r="U551" s="85"/>
      <c r="V551" s="86"/>
    </row>
    <row r="552" spans="1:26" s="8" customFormat="1" ht="12">
      <c r="A552" s="136" t="s">
        <v>464</v>
      </c>
      <c r="B552" s="537">
        <v>0</v>
      </c>
      <c r="C552" s="137"/>
      <c r="D552" s="512" t="s">
        <v>1304</v>
      </c>
      <c r="E552" s="139"/>
      <c r="F552" s="136"/>
      <c r="G552" s="138"/>
      <c r="H552" s="347"/>
      <c r="I552" s="468"/>
      <c r="J552" s="468"/>
      <c r="K552" s="469"/>
      <c r="L552" s="469"/>
      <c r="M552" s="468"/>
      <c r="N552" s="458"/>
      <c r="O552" s="458"/>
      <c r="P552" s="136"/>
      <c r="Q552" s="139"/>
      <c r="R552" s="140"/>
      <c r="S552" s="138"/>
      <c r="T552" s="138"/>
      <c r="U552" s="186"/>
      <c r="V552" s="139"/>
      <c r="W552" s="139"/>
      <c r="X552" s="139"/>
      <c r="Y552" s="139"/>
      <c r="Z552" s="139"/>
    </row>
    <row r="553" spans="1:26" s="8" customFormat="1" ht="15.6">
      <c r="A553" s="136" t="s">
        <v>574</v>
      </c>
      <c r="B553" s="523">
        <f>E555</f>
        <v>6962.6399999999976</v>
      </c>
      <c r="C553" s="137"/>
      <c r="D553" s="512" t="s">
        <v>577</v>
      </c>
      <c r="E553" s="139"/>
      <c r="F553" s="136"/>
      <c r="G553" s="138"/>
      <c r="H553" s="347"/>
      <c r="I553" s="136"/>
      <c r="J553" s="136"/>
      <c r="K553" s="2"/>
      <c r="L553" s="2"/>
      <c r="M553" s="136"/>
      <c r="N553" s="366"/>
      <c r="O553" s="161"/>
      <c r="P553" s="136"/>
      <c r="Q553" s="139"/>
      <c r="R553" s="140"/>
      <c r="S553" s="138"/>
      <c r="T553" s="138"/>
      <c r="U553" s="136"/>
      <c r="V553" s="139"/>
      <c r="W553" s="139"/>
      <c r="X553" s="139"/>
      <c r="Y553" s="139"/>
      <c r="Z553" s="139"/>
    </row>
    <row r="554" spans="1:26" s="8" customFormat="1" ht="13.2">
      <c r="A554" s="136" t="s">
        <v>1534</v>
      </c>
      <c r="B554" s="161">
        <f>B549-B552-B553</f>
        <v>-6962.6399999999976</v>
      </c>
      <c r="C554" s="137"/>
      <c r="D554" s="512" t="s">
        <v>578</v>
      </c>
      <c r="E554" s="139"/>
      <c r="F554" s="136"/>
      <c r="G554" s="138"/>
      <c r="H554" s="347"/>
      <c r="I554" s="136"/>
      <c r="J554" s="136"/>
      <c r="K554"/>
      <c r="L554"/>
      <c r="M554" s="136"/>
      <c r="N554" s="136"/>
      <c r="O554" s="161"/>
      <c r="P554" s="136"/>
      <c r="Q554" s="139"/>
      <c r="R554" s="140"/>
      <c r="S554" s="138"/>
      <c r="T554" s="138"/>
      <c r="U554" s="136"/>
      <c r="V554" s="139"/>
      <c r="W554" s="139"/>
      <c r="X554" s="139"/>
      <c r="Y554" s="139"/>
      <c r="Z554" s="139"/>
    </row>
    <row r="555" spans="1:26" ht="12">
      <c r="A555" s="136" t="s">
        <v>466</v>
      </c>
      <c r="B555" s="161">
        <f>B554/12</f>
        <v>-580.2199999999998</v>
      </c>
      <c r="C555" s="137"/>
      <c r="D555" s="235" t="s">
        <v>585</v>
      </c>
      <c r="E555" s="573">
        <v>6962.6399999999976</v>
      </c>
      <c r="F555" s="136"/>
      <c r="G555" s="138"/>
      <c r="H555" s="136"/>
      <c r="I555" s="136"/>
      <c r="J555" s="136"/>
      <c r="K555" s="347"/>
      <c r="L555" s="347"/>
      <c r="M555" s="136"/>
      <c r="N555" s="136"/>
      <c r="O555" s="161"/>
      <c r="P555" s="136"/>
      <c r="S555" s="138"/>
      <c r="T555" s="138"/>
      <c r="U555" s="186"/>
    </row>
    <row r="556" spans="1:26" s="194" customFormat="1" ht="13.8" thickBot="1">
      <c r="A556" s="139"/>
      <c r="B556" s="139"/>
      <c r="C556" s="349"/>
      <c r="D556" s="349"/>
      <c r="E556" s="139"/>
      <c r="F556" s="139"/>
      <c r="G556" s="140"/>
      <c r="H556" s="139"/>
      <c r="I556" s="139"/>
      <c r="J556" s="139"/>
      <c r="K556" s="350"/>
      <c r="L556" s="139"/>
      <c r="M556" s="139"/>
      <c r="N556" s="156"/>
      <c r="O556" s="351"/>
      <c r="P556" s="139"/>
      <c r="Q556" s="139"/>
      <c r="R556" s="140"/>
      <c r="S556" s="140"/>
      <c r="T556" s="140"/>
      <c r="U556" s="139"/>
      <c r="V556" s="139"/>
      <c r="W556" s="139"/>
      <c r="X556" s="139"/>
      <c r="Y556" s="139"/>
      <c r="Z556" s="139"/>
    </row>
    <row r="557" spans="1:26" ht="10.8" thickBot="1">
      <c r="A557" s="514"/>
      <c r="B557" s="183"/>
      <c r="C557" s="349"/>
      <c r="D557" s="748"/>
      <c r="E557" s="183"/>
      <c r="K557" s="350"/>
      <c r="N557" s="156"/>
      <c r="O557" s="351"/>
    </row>
    <row r="558" spans="1:26" ht="10.8" thickBot="1">
      <c r="A558" s="279"/>
      <c r="B558" s="190"/>
      <c r="C558" s="739"/>
      <c r="D558" s="746"/>
      <c r="E558" s="185"/>
      <c r="K558" s="350"/>
      <c r="N558" s="156"/>
      <c r="O558" s="351"/>
    </row>
    <row r="559" spans="1:26" ht="10.8" thickBot="1">
      <c r="C559" s="349"/>
      <c r="D559" s="746"/>
      <c r="E559" s="185"/>
      <c r="K559" s="350"/>
      <c r="N559" s="156"/>
      <c r="O559" s="351"/>
    </row>
    <row r="560" spans="1:26" ht="10.8" thickBot="1">
      <c r="A560" s="514"/>
      <c r="B560" s="183"/>
      <c r="C560" s="349"/>
      <c r="D560" s="746"/>
      <c r="E560" s="185"/>
      <c r="K560" s="350"/>
      <c r="N560" s="156"/>
      <c r="O560" s="351"/>
    </row>
    <row r="561" spans="1:26" ht="10.8" thickBot="1">
      <c r="A561" s="627"/>
      <c r="B561" s="532"/>
      <c r="C561" s="349"/>
      <c r="D561" s="746"/>
      <c r="E561" s="185"/>
      <c r="K561" s="350"/>
      <c r="N561" s="156"/>
      <c r="O561" s="351"/>
    </row>
    <row r="562" spans="1:26" ht="10.8" thickBot="1">
      <c r="A562" s="153"/>
      <c r="B562" s="185"/>
      <c r="C562" s="349"/>
      <c r="D562" s="742"/>
      <c r="E562" s="190"/>
      <c r="K562" s="350"/>
      <c r="N562" s="156"/>
      <c r="O562" s="351"/>
    </row>
    <row r="563" spans="1:26" ht="10.8" thickBot="1">
      <c r="A563" s="279"/>
      <c r="B563" s="190"/>
      <c r="C563" s="349"/>
      <c r="D563" s="742"/>
      <c r="E563" s="190"/>
      <c r="K563" s="350"/>
      <c r="N563" s="156"/>
      <c r="O563" s="351"/>
    </row>
    <row r="564" spans="1:26">
      <c r="A564" s="153"/>
      <c r="C564" s="349"/>
      <c r="D564" s="349"/>
      <c r="K564" s="350"/>
      <c r="N564" s="156"/>
      <c r="O564" s="351"/>
      <c r="U564" s="185"/>
    </row>
    <row r="565" spans="1:26">
      <c r="A565" s="153"/>
      <c r="C565" s="349"/>
      <c r="D565" s="349"/>
      <c r="K565" s="350"/>
      <c r="N565" s="156"/>
      <c r="O565" s="351"/>
      <c r="U565" s="185"/>
    </row>
    <row r="566" spans="1:26">
      <c r="A566" s="153"/>
      <c r="C566" s="349"/>
      <c r="D566" s="349"/>
      <c r="K566" s="350"/>
      <c r="N566" s="156"/>
      <c r="O566" s="351"/>
      <c r="U566" s="185"/>
    </row>
    <row r="567" spans="1:26">
      <c r="A567" s="153"/>
      <c r="C567" s="349"/>
      <c r="D567" s="349"/>
      <c r="K567" s="350"/>
      <c r="N567" s="156"/>
      <c r="O567" s="351"/>
      <c r="U567" s="185"/>
    </row>
    <row r="568" spans="1:26" ht="13.2">
      <c r="A568" s="624" t="s">
        <v>2240</v>
      </c>
      <c r="B568" s="335"/>
      <c r="C568" s="335"/>
      <c r="D568" s="335"/>
      <c r="E568" s="335"/>
      <c r="F568" s="335"/>
      <c r="G568" s="336"/>
      <c r="H568" s="335"/>
      <c r="I568" s="335"/>
      <c r="J568" s="335"/>
      <c r="K568" s="335"/>
      <c r="L568" s="335"/>
      <c r="M568" s="335"/>
      <c r="N568" s="335"/>
      <c r="O568" s="335"/>
      <c r="P568" s="335"/>
      <c r="Q568" s="335"/>
      <c r="R568" s="336"/>
      <c r="S568" s="336"/>
      <c r="T568" s="336"/>
      <c r="U568" s="589"/>
      <c r="V568" s="335"/>
      <c r="W568" s="335"/>
      <c r="X568" s="335"/>
      <c r="Y568" s="335"/>
      <c r="Z568" s="335"/>
    </row>
    <row r="569" spans="1:26" ht="13.2">
      <c r="A569" s="624"/>
      <c r="B569" s="335"/>
      <c r="C569" s="335"/>
      <c r="D569" s="335"/>
      <c r="E569" s="335"/>
      <c r="F569" s="335"/>
      <c r="G569" s="336"/>
      <c r="H569" s="335"/>
      <c r="I569" s="335"/>
      <c r="J569" s="335"/>
      <c r="K569" s="335"/>
      <c r="L569" s="335"/>
      <c r="M569" s="335"/>
      <c r="N569" s="335"/>
      <c r="O569" s="335"/>
      <c r="P569" s="335"/>
      <c r="Q569" s="335"/>
      <c r="R569" s="336"/>
      <c r="S569" s="336"/>
      <c r="T569" s="336"/>
      <c r="U569" s="589"/>
      <c r="V569" s="335"/>
      <c r="W569" s="335"/>
      <c r="X569" s="335"/>
      <c r="Y569" s="335"/>
      <c r="Z569" s="335"/>
    </row>
    <row r="570" spans="1:26" ht="13.2">
      <c r="A570" s="624"/>
      <c r="B570" s="335"/>
      <c r="C570" s="335"/>
      <c r="D570" s="335"/>
      <c r="E570" s="335"/>
      <c r="F570" s="335"/>
      <c r="G570" s="336"/>
      <c r="H570" s="335"/>
      <c r="I570" s="335"/>
      <c r="J570" s="335"/>
      <c r="K570" s="335"/>
      <c r="L570" s="335"/>
      <c r="M570" s="335"/>
      <c r="N570" s="335"/>
      <c r="O570" s="335"/>
      <c r="P570" s="335"/>
      <c r="Q570" s="335"/>
      <c r="R570" s="336"/>
      <c r="S570" s="336"/>
      <c r="T570" s="336"/>
      <c r="U570" s="589"/>
      <c r="V570" s="335"/>
      <c r="W570" s="335"/>
      <c r="X570" s="335"/>
      <c r="Y570" s="335"/>
      <c r="Z570" s="335"/>
    </row>
    <row r="571" spans="1:26">
      <c r="A571" s="153"/>
      <c r="U571" s="185"/>
    </row>
    <row r="572" spans="1:26" ht="13.2">
      <c r="A572" s="10"/>
      <c r="B572" s="8"/>
      <c r="C572" s="31"/>
      <c r="D572" s="31"/>
      <c r="E572" s="8"/>
      <c r="F572" s="8"/>
      <c r="G572" s="132"/>
      <c r="H572" s="404"/>
      <c r="I572" s="8"/>
      <c r="J572" s="8"/>
      <c r="K572" s="8"/>
      <c r="L572" s="15"/>
      <c r="M572" s="8"/>
      <c r="N572" s="683"/>
      <c r="O572" s="684"/>
      <c r="P572" s="8"/>
      <c r="Q572" s="8"/>
      <c r="R572" s="685"/>
      <c r="S572" s="132"/>
      <c r="T572" s="132"/>
      <c r="U572" s="686"/>
      <c r="V572" s="86"/>
      <c r="W572" s="8"/>
      <c r="X572" s="8"/>
      <c r="Y572" s="8"/>
      <c r="Z572" s="8"/>
    </row>
    <row r="573" spans="1:26" ht="13.2">
      <c r="A573" s="10"/>
      <c r="B573" s="8"/>
      <c r="C573" s="31"/>
      <c r="D573" s="31"/>
      <c r="E573" s="8"/>
      <c r="F573" s="8"/>
      <c r="G573" s="132"/>
      <c r="H573" s="404"/>
      <c r="I573" s="8"/>
      <c r="J573" s="8"/>
      <c r="K573" s="8"/>
      <c r="L573" s="15"/>
      <c r="M573" s="8"/>
      <c r="N573" s="683"/>
      <c r="O573" s="684"/>
      <c r="P573" s="8"/>
      <c r="Q573" s="8"/>
      <c r="R573" s="685"/>
      <c r="S573" s="132"/>
      <c r="T573" s="132"/>
      <c r="U573" s="686"/>
      <c r="V573" s="86"/>
      <c r="W573" s="8"/>
      <c r="X573" s="8"/>
      <c r="Y573" s="8"/>
      <c r="Z573" s="8"/>
    </row>
    <row r="574" spans="1:26">
      <c r="A574" s="10"/>
      <c r="B574" s="8"/>
      <c r="C574" s="31"/>
      <c r="D574" s="31"/>
      <c r="E574" s="8"/>
      <c r="F574" s="8"/>
      <c r="G574" s="132"/>
      <c r="H574" s="8"/>
      <c r="I574" s="8"/>
      <c r="J574" s="8"/>
      <c r="K574" s="8"/>
      <c r="L574" s="8"/>
      <c r="M574" s="8"/>
      <c r="N574" s="73"/>
      <c r="O574" s="12"/>
      <c r="P574" s="8"/>
      <c r="Q574" s="457"/>
      <c r="R574" s="132"/>
      <c r="S574" s="132"/>
      <c r="T574" s="132"/>
      <c r="U574" s="85"/>
      <c r="V574" s="8"/>
      <c r="W574" s="86"/>
      <c r="X574" s="8"/>
      <c r="Y574" s="8"/>
      <c r="Z574" s="8"/>
    </row>
    <row r="575" spans="1:26" ht="13.2">
      <c r="A575" s="10"/>
      <c r="B575" s="8"/>
      <c r="C575" s="31"/>
      <c r="D575" s="31"/>
      <c r="E575" s="8"/>
      <c r="F575" s="8"/>
      <c r="G575" s="132"/>
      <c r="H575" s="8"/>
      <c r="I575" s="8"/>
      <c r="J575" s="8"/>
      <c r="K575" s="8"/>
      <c r="L575" s="8"/>
      <c r="M575" s="8"/>
      <c r="N575" s="2"/>
      <c r="O575" s="12"/>
      <c r="P575" s="8"/>
      <c r="Q575" s="8"/>
      <c r="R575" s="132"/>
      <c r="S575" s="132"/>
      <c r="T575" s="132"/>
      <c r="U575" s="85"/>
      <c r="V575" s="86"/>
      <c r="W575" s="8"/>
      <c r="X575" s="8"/>
      <c r="Y575" s="8"/>
      <c r="Z575" s="8"/>
    </row>
    <row r="576" spans="1:26" s="689" customFormat="1" ht="13.2">
      <c r="A576" s="8"/>
      <c r="B576" s="8"/>
      <c r="C576" s="31"/>
      <c r="D576" s="31"/>
      <c r="E576" s="8"/>
      <c r="F576" s="8"/>
      <c r="G576" s="132"/>
      <c r="H576" s="8"/>
      <c r="I576" s="8"/>
      <c r="J576" s="8"/>
      <c r="K576" s="8"/>
      <c r="L576" s="2"/>
      <c r="M576" s="8"/>
      <c r="N576" s="2"/>
      <c r="O576" s="12"/>
      <c r="P576" s="8"/>
      <c r="Q576" s="8"/>
      <c r="R576" s="132"/>
      <c r="S576" s="132"/>
      <c r="T576" s="132"/>
      <c r="U576" s="126"/>
      <c r="V576" s="86"/>
      <c r="W576" s="8"/>
      <c r="X576" s="8"/>
      <c r="Y576" s="8"/>
      <c r="Z576" s="8"/>
    </row>
    <row r="577" spans="1:26" ht="13.2">
      <c r="A577" s="10"/>
      <c r="B577" s="8"/>
      <c r="C577" s="31"/>
      <c r="D577" s="31"/>
      <c r="E577" s="8"/>
      <c r="F577" s="8"/>
      <c r="G577" s="132"/>
      <c r="H577" s="8"/>
      <c r="I577" s="404"/>
      <c r="J577" s="8"/>
      <c r="K577" s="8"/>
      <c r="L577" s="8"/>
      <c r="M577" s="8"/>
      <c r="N577" s="2"/>
      <c r="O577" s="12"/>
      <c r="P577" s="8"/>
      <c r="Q577" s="8"/>
      <c r="R577" s="132"/>
      <c r="S577" s="132"/>
      <c r="T577" s="132"/>
      <c r="U577" s="85"/>
      <c r="V577" s="86"/>
      <c r="W577" s="8"/>
      <c r="X577" s="8"/>
      <c r="Y577" s="8"/>
      <c r="Z577" s="8"/>
    </row>
    <row r="578" spans="1:26" s="689" customFormat="1">
      <c r="A578" s="8"/>
      <c r="B578" s="8"/>
      <c r="C578" s="31"/>
      <c r="D578" s="31"/>
      <c r="E578" s="8"/>
      <c r="F578" s="8"/>
      <c r="G578" s="132"/>
      <c r="H578" s="404"/>
      <c r="I578" s="457"/>
      <c r="J578" s="457"/>
      <c r="K578" s="457"/>
      <c r="L578" s="457"/>
      <c r="M578" s="457"/>
      <c r="N578" s="462"/>
      <c r="O578" s="463"/>
      <c r="P578" s="8"/>
      <c r="Q578" s="8"/>
      <c r="R578" s="132"/>
      <c r="S578" s="132"/>
      <c r="T578" s="132"/>
      <c r="U578" s="603"/>
      <c r="V578" s="86"/>
      <c r="W578" s="8"/>
      <c r="X578" s="8"/>
      <c r="Y578" s="8"/>
      <c r="Z578" s="8"/>
    </row>
    <row r="579" spans="1:26" ht="13.2">
      <c r="A579" s="10"/>
      <c r="B579" s="8"/>
      <c r="C579" s="31"/>
      <c r="D579" s="31"/>
      <c r="E579" s="8"/>
      <c r="F579" s="8"/>
      <c r="G579" s="132"/>
      <c r="H579" s="7"/>
      <c r="I579" s="457"/>
      <c r="J579" s="457"/>
      <c r="K579" s="457"/>
      <c r="L579" s="457"/>
      <c r="M579" s="457"/>
      <c r="N579" s="464"/>
      <c r="O579" s="463"/>
      <c r="P579" s="8"/>
      <c r="Q579" s="8"/>
      <c r="R579" s="132"/>
      <c r="S579" s="132"/>
      <c r="T579" s="132"/>
      <c r="U579" s="85"/>
      <c r="V579" s="86"/>
      <c r="W579" s="8"/>
      <c r="X579" s="8"/>
      <c r="Y579" s="8"/>
      <c r="Z579" s="8"/>
    </row>
    <row r="580" spans="1:26" ht="13.2">
      <c r="A580" s="10"/>
      <c r="B580" s="8"/>
      <c r="C580" s="31"/>
      <c r="D580" s="31"/>
      <c r="E580" s="8"/>
      <c r="F580" s="8"/>
      <c r="G580" s="132"/>
      <c r="H580" s="7"/>
      <c r="I580" s="457"/>
      <c r="J580" s="457"/>
      <c r="K580" s="457"/>
      <c r="L580" s="457"/>
      <c r="M580" s="457"/>
      <c r="N580" s="465"/>
      <c r="O580" s="463"/>
      <c r="P580" s="8"/>
      <c r="Q580" s="8"/>
      <c r="R580" s="132"/>
      <c r="S580" s="132"/>
      <c r="T580" s="132"/>
      <c r="U580" s="85"/>
      <c r="V580" s="86"/>
      <c r="W580" s="8"/>
      <c r="X580" s="8"/>
      <c r="Y580" s="8"/>
      <c r="Z580" s="8"/>
    </row>
    <row r="581" spans="1:26" ht="13.2">
      <c r="A581" s="153"/>
      <c r="I581" s="458"/>
      <c r="J581" s="458"/>
      <c r="K581" s="458"/>
      <c r="L581" s="458"/>
      <c r="M581" s="458"/>
      <c r="N581" s="466"/>
      <c r="O581" s="467"/>
      <c r="U581" s="85"/>
      <c r="X581" s="8"/>
    </row>
    <row r="582" spans="1:26" ht="13.2">
      <c r="A582" s="513"/>
      <c r="B582" s="194"/>
      <c r="C582" s="194"/>
      <c r="D582" s="194"/>
      <c r="E582" s="194"/>
      <c r="F582" s="194"/>
      <c r="G582" s="334"/>
      <c r="H582" s="347"/>
      <c r="I582" s="459"/>
      <c r="J582" s="459"/>
      <c r="K582" s="459"/>
      <c r="L582" s="459"/>
      <c r="M582" s="459"/>
      <c r="N582" s="459"/>
      <c r="O582" s="459"/>
      <c r="P582" s="194"/>
      <c r="Q582" s="194"/>
      <c r="R582" s="334"/>
      <c r="S582" s="334"/>
      <c r="T582" s="334"/>
      <c r="U582" s="571"/>
      <c r="V582" s="348"/>
      <c r="W582" s="194"/>
      <c r="X582" s="194"/>
      <c r="Y582" s="194"/>
      <c r="Z582" s="194"/>
    </row>
    <row r="583" spans="1:26" ht="13.2">
      <c r="A583" s="510" t="s">
        <v>2241</v>
      </c>
      <c r="B583" s="522">
        <f>SUM(O551:O581)</f>
        <v>0</v>
      </c>
      <c r="C583" s="289" t="e">
        <f>B583/B529</f>
        <v>#DIV/0!</v>
      </c>
      <c r="D583" s="141" t="s">
        <v>574</v>
      </c>
      <c r="E583" s="194"/>
      <c r="F583" s="136"/>
      <c r="G583" s="138"/>
      <c r="H583" s="264"/>
      <c r="I583" s="468"/>
      <c r="J583" s="468"/>
      <c r="K583" s="468"/>
      <c r="L583" s="460"/>
      <c r="M583" s="468"/>
      <c r="N583" s="468"/>
      <c r="O583" s="468"/>
      <c r="P583" s="136"/>
      <c r="S583" s="138"/>
      <c r="T583" s="138"/>
      <c r="U583" s="587"/>
    </row>
    <row r="584" spans="1:26" ht="13.2">
      <c r="A584" s="187" t="s">
        <v>463</v>
      </c>
      <c r="B584" s="536">
        <f>SUM(R551:R582)</f>
        <v>0</v>
      </c>
      <c r="C584" s="544" t="e">
        <f>B583/B584</f>
        <v>#DIV/0!</v>
      </c>
      <c r="D584" s="512" t="s">
        <v>575</v>
      </c>
      <c r="F584" s="136"/>
      <c r="G584" s="138"/>
      <c r="H584" s="194"/>
      <c r="I584" s="468"/>
      <c r="J584" s="468"/>
      <c r="K584" s="469"/>
      <c r="L584" s="458"/>
      <c r="M584" s="468"/>
      <c r="N584" s="458"/>
      <c r="O584" s="468"/>
      <c r="P584" s="136"/>
      <c r="S584" s="138"/>
      <c r="T584" s="138"/>
      <c r="U584" s="587"/>
    </row>
    <row r="585" spans="1:26" ht="12">
      <c r="A585" s="187"/>
      <c r="B585" s="136"/>
      <c r="C585" s="137"/>
      <c r="D585" s="512" t="s">
        <v>576</v>
      </c>
      <c r="F585" s="136"/>
      <c r="G585" s="138"/>
      <c r="H585" s="347"/>
      <c r="I585" s="468"/>
      <c r="J585" s="468"/>
      <c r="K585" s="469"/>
      <c r="L585" s="461"/>
      <c r="M585" s="468"/>
      <c r="N585" s="458"/>
      <c r="O585" s="468"/>
      <c r="P585" s="136"/>
      <c r="S585" s="138"/>
      <c r="T585" s="138"/>
      <c r="U585" s="186"/>
    </row>
    <row r="586" spans="1:26" ht="12">
      <c r="A586" s="187" t="s">
        <v>464</v>
      </c>
      <c r="B586" s="537">
        <v>0</v>
      </c>
      <c r="C586" s="137"/>
      <c r="D586" s="512" t="s">
        <v>1304</v>
      </c>
      <c r="F586" s="136"/>
      <c r="G586" s="138"/>
      <c r="H586" s="347"/>
      <c r="I586" s="468"/>
      <c r="J586" s="468"/>
      <c r="K586" s="469"/>
      <c r="L586" s="469"/>
      <c r="M586" s="468"/>
      <c r="N586" s="458"/>
      <c r="O586" s="458"/>
      <c r="P586" s="136"/>
      <c r="S586" s="138"/>
      <c r="T586" s="138"/>
      <c r="U586" s="186"/>
    </row>
    <row r="587" spans="1:26" ht="15.6">
      <c r="A587" s="187" t="s">
        <v>574</v>
      </c>
      <c r="B587" s="523">
        <f>E589</f>
        <v>6962.6399999999976</v>
      </c>
      <c r="C587" s="137"/>
      <c r="D587" s="512" t="s">
        <v>577</v>
      </c>
      <c r="F587" s="136"/>
      <c r="G587" s="138"/>
      <c r="H587" s="347"/>
      <c r="I587" s="136"/>
      <c r="J587" s="136"/>
      <c r="K587" s="2"/>
      <c r="L587" s="2"/>
      <c r="M587" s="136"/>
      <c r="N587" s="366"/>
      <c r="O587" s="161"/>
      <c r="P587" s="136"/>
      <c r="S587" s="138"/>
      <c r="T587" s="138"/>
      <c r="U587" s="186"/>
    </row>
    <row r="588" spans="1:26" ht="13.2">
      <c r="A588" s="187" t="s">
        <v>1534</v>
      </c>
      <c r="B588" s="161">
        <f>B583-B586-B587</f>
        <v>-6962.6399999999976</v>
      </c>
      <c r="C588" s="137"/>
      <c r="D588" s="512" t="s">
        <v>578</v>
      </c>
      <c r="F588" s="136"/>
      <c r="G588" s="138"/>
      <c r="H588" s="347"/>
      <c r="I588" s="136"/>
      <c r="J588" s="136"/>
      <c r="K588"/>
      <c r="L588"/>
      <c r="M588" s="136"/>
      <c r="N588" s="136"/>
      <c r="O588" s="161"/>
      <c r="P588" s="136"/>
      <c r="S588" s="138"/>
      <c r="T588" s="138"/>
      <c r="U588" s="186"/>
    </row>
    <row r="589" spans="1:26" ht="12">
      <c r="A589" s="187" t="s">
        <v>466</v>
      </c>
      <c r="B589" s="161">
        <f>B588/12</f>
        <v>-580.2199999999998</v>
      </c>
      <c r="C589" s="137"/>
      <c r="D589" s="235" t="s">
        <v>585</v>
      </c>
      <c r="E589" s="573">
        <v>6962.6399999999976</v>
      </c>
      <c r="F589" s="136"/>
      <c r="G589" s="138"/>
      <c r="H589" s="136"/>
      <c r="I589" s="136"/>
      <c r="J589" s="136"/>
      <c r="K589" s="347"/>
      <c r="L589" s="347"/>
      <c r="M589" s="136"/>
      <c r="N589" s="136"/>
      <c r="O589" s="161"/>
      <c r="P589" s="136"/>
      <c r="S589" s="138"/>
      <c r="T589" s="138"/>
      <c r="U589" s="186"/>
    </row>
    <row r="590" spans="1:26">
      <c r="A590" s="153"/>
      <c r="C590" s="349"/>
      <c r="D590" s="349"/>
      <c r="K590" s="350"/>
      <c r="N590" s="156"/>
      <c r="O590" s="351"/>
      <c r="U590" s="185"/>
    </row>
    <row r="591" spans="1:26">
      <c r="A591" s="153"/>
      <c r="C591" s="349"/>
      <c r="D591" s="349"/>
      <c r="K591" s="350"/>
      <c r="N591" s="156"/>
      <c r="O591" s="351"/>
      <c r="U591" s="185"/>
    </row>
    <row r="592" spans="1:26">
      <c r="A592" s="153"/>
      <c r="C592" s="349"/>
      <c r="D592" s="349"/>
      <c r="K592" s="350"/>
      <c r="N592" s="156"/>
      <c r="O592" s="351"/>
      <c r="U592" s="185"/>
    </row>
    <row r="593" spans="1:21">
      <c r="A593" s="153"/>
      <c r="C593" s="349"/>
      <c r="D593" s="349"/>
      <c r="K593" s="350"/>
      <c r="N593" s="156"/>
      <c r="O593" s="351"/>
      <c r="U593" s="185"/>
    </row>
    <row r="594" spans="1:21">
      <c r="A594" s="153"/>
      <c r="C594" s="349"/>
      <c r="D594" s="349"/>
      <c r="K594" s="350"/>
      <c r="N594" s="156"/>
      <c r="O594" s="351"/>
      <c r="U594" s="185"/>
    </row>
    <row r="595" spans="1:21">
      <c r="A595" s="153"/>
      <c r="C595" s="349"/>
      <c r="D595" s="349"/>
      <c r="K595" s="350"/>
      <c r="N595" s="156"/>
      <c r="O595" s="351"/>
      <c r="U595" s="185"/>
    </row>
    <row r="596" spans="1:21">
      <c r="A596" s="153"/>
      <c r="C596" s="349"/>
      <c r="D596" s="349"/>
      <c r="K596" s="350"/>
      <c r="N596" s="156"/>
      <c r="O596" s="351"/>
      <c r="U596" s="185"/>
    </row>
    <row r="597" spans="1:21">
      <c r="A597" s="698" t="s">
        <v>2547</v>
      </c>
      <c r="C597" s="349"/>
      <c r="D597" s="349"/>
      <c r="K597" s="350"/>
      <c r="N597" s="156"/>
      <c r="O597" s="351"/>
      <c r="U597" s="185"/>
    </row>
    <row r="598" spans="1:21">
      <c r="A598" s="153"/>
      <c r="C598" s="349"/>
      <c r="D598" s="349"/>
      <c r="K598" s="350"/>
      <c r="N598" s="156"/>
      <c r="O598" s="351"/>
      <c r="U598" s="185"/>
    </row>
    <row r="599" spans="1:21">
      <c r="A599" s="510" t="s">
        <v>2546</v>
      </c>
      <c r="C599" s="349"/>
      <c r="D599" s="349"/>
      <c r="K599" s="350"/>
      <c r="N599" s="156"/>
      <c r="O599" s="351"/>
      <c r="U599" s="185"/>
    </row>
    <row r="600" spans="1:21">
      <c r="A600" s="153"/>
      <c r="C600" s="349"/>
      <c r="D600" s="349"/>
      <c r="K600" s="350"/>
      <c r="N600" s="156"/>
      <c r="O600" s="351"/>
      <c r="U600" s="185"/>
    </row>
    <row r="601" spans="1:21">
      <c r="A601" s="153"/>
      <c r="C601" s="349"/>
      <c r="D601" s="349"/>
      <c r="K601" s="350"/>
      <c r="N601" s="156"/>
      <c r="O601" s="351"/>
      <c r="U601" s="185"/>
    </row>
    <row r="602" spans="1:21">
      <c r="A602" s="153"/>
      <c r="C602" s="349"/>
      <c r="D602" s="349"/>
      <c r="K602" s="350"/>
      <c r="N602" s="156"/>
      <c r="O602" s="351"/>
      <c r="U602" s="185"/>
    </row>
    <row r="603" spans="1:21">
      <c r="A603" s="153"/>
      <c r="C603" s="349"/>
      <c r="D603" s="349"/>
      <c r="K603" s="350"/>
      <c r="N603" s="156"/>
      <c r="O603" s="351"/>
      <c r="U603" s="185"/>
    </row>
    <row r="604" spans="1:21">
      <c r="A604" s="153"/>
      <c r="C604" s="349"/>
      <c r="D604" s="349"/>
      <c r="K604" s="350"/>
      <c r="N604" s="156"/>
      <c r="O604" s="351"/>
      <c r="U604" s="185"/>
    </row>
    <row r="605" spans="1:21">
      <c r="A605" s="153"/>
      <c r="C605" s="349"/>
      <c r="D605" s="349"/>
      <c r="K605" s="350"/>
      <c r="N605" s="156"/>
      <c r="O605" s="351"/>
      <c r="U605" s="185"/>
    </row>
    <row r="606" spans="1:21">
      <c r="A606" s="153"/>
      <c r="C606" s="349"/>
      <c r="D606" s="349"/>
      <c r="K606" s="350"/>
      <c r="N606" s="156"/>
      <c r="O606" s="351"/>
      <c r="U606" s="185"/>
    </row>
    <row r="607" spans="1:21">
      <c r="A607" s="153"/>
      <c r="C607" s="349"/>
      <c r="D607" s="349"/>
      <c r="K607" s="350"/>
      <c r="N607" s="156"/>
      <c r="O607" s="351"/>
      <c r="U607" s="185"/>
    </row>
    <row r="608" spans="1:21">
      <c r="A608" s="153"/>
      <c r="C608" s="349"/>
      <c r="D608" s="349"/>
      <c r="K608" s="350"/>
      <c r="N608" s="156"/>
      <c r="O608" s="351"/>
      <c r="U608" s="185"/>
    </row>
    <row r="609" spans="1:21">
      <c r="A609" s="153"/>
      <c r="C609" s="349"/>
      <c r="D609" s="349"/>
      <c r="K609" s="350"/>
      <c r="N609" s="156"/>
      <c r="O609" s="351"/>
      <c r="U609" s="185"/>
    </row>
    <row r="610" spans="1:21">
      <c r="A610" s="153"/>
      <c r="C610" s="349"/>
      <c r="D610" s="349"/>
      <c r="K610" s="350"/>
      <c r="N610" s="156"/>
      <c r="O610" s="351"/>
      <c r="U610" s="185"/>
    </row>
    <row r="611" spans="1:21">
      <c r="A611" s="153"/>
      <c r="C611" s="349"/>
      <c r="D611" s="349"/>
      <c r="K611" s="350"/>
      <c r="N611" s="156"/>
      <c r="O611" s="351"/>
      <c r="U611" s="185"/>
    </row>
    <row r="612" spans="1:21">
      <c r="A612" s="153"/>
      <c r="C612" s="349"/>
      <c r="D612" s="349"/>
      <c r="K612" s="350"/>
      <c r="N612" s="156"/>
      <c r="O612" s="351"/>
      <c r="U612" s="185"/>
    </row>
    <row r="613" spans="1:21">
      <c r="A613" s="153"/>
      <c r="C613" s="349"/>
      <c r="D613" s="349"/>
      <c r="K613" s="350"/>
      <c r="N613" s="156"/>
      <c r="O613" s="351"/>
      <c r="U613" s="185"/>
    </row>
    <row r="614" spans="1:21">
      <c r="A614" s="153"/>
      <c r="C614" s="349"/>
      <c r="D614" s="349"/>
      <c r="K614" s="350"/>
      <c r="N614" s="156"/>
      <c r="O614" s="351"/>
      <c r="U614" s="185"/>
    </row>
    <row r="615" spans="1:21">
      <c r="A615" s="153"/>
      <c r="C615" s="349"/>
      <c r="D615" s="349"/>
      <c r="K615" s="350"/>
      <c r="N615" s="156"/>
      <c r="O615" s="351"/>
      <c r="U615" s="185"/>
    </row>
    <row r="616" spans="1:21">
      <c r="A616" s="153"/>
      <c r="C616" s="349"/>
      <c r="D616" s="349"/>
      <c r="K616" s="350"/>
      <c r="N616" s="156"/>
      <c r="O616" s="351"/>
      <c r="U616" s="185"/>
    </row>
    <row r="617" spans="1:21" ht="14.25" customHeight="1">
      <c r="A617" s="153"/>
      <c r="C617" s="349"/>
      <c r="D617" s="349"/>
      <c r="K617" s="350"/>
      <c r="N617" s="156"/>
      <c r="O617" s="351"/>
      <c r="U617" s="185"/>
    </row>
    <row r="618" spans="1:21" ht="14.25" customHeight="1">
      <c r="A618" s="153"/>
      <c r="C618" s="349"/>
      <c r="D618" s="349"/>
      <c r="K618" s="350"/>
      <c r="N618" s="156"/>
      <c r="O618" s="351"/>
      <c r="U618" s="185"/>
    </row>
    <row r="619" spans="1:21" ht="14.25" customHeight="1">
      <c r="A619" s="153"/>
      <c r="C619" s="349"/>
      <c r="D619" s="349"/>
      <c r="K619" s="350"/>
      <c r="N619" s="156"/>
      <c r="O619" s="351"/>
      <c r="U619" s="185"/>
    </row>
    <row r="620" spans="1:21">
      <c r="A620" s="153"/>
      <c r="C620" s="349"/>
      <c r="D620" s="349"/>
      <c r="K620" s="350"/>
      <c r="N620" s="156"/>
      <c r="O620" s="351"/>
      <c r="U620" s="185"/>
    </row>
    <row r="621" spans="1:21">
      <c r="A621" s="153"/>
      <c r="C621" s="349"/>
      <c r="D621" s="349"/>
      <c r="K621" s="350"/>
      <c r="N621" s="156"/>
      <c r="O621" s="351"/>
      <c r="U621" s="185"/>
    </row>
    <row r="622" spans="1:21">
      <c r="A622" s="153"/>
      <c r="C622" s="349"/>
      <c r="D622" s="349"/>
      <c r="K622" s="350"/>
      <c r="N622" s="156"/>
      <c r="O622" s="351"/>
      <c r="U622" s="185"/>
    </row>
    <row r="623" spans="1:21">
      <c r="A623" s="153"/>
      <c r="C623" s="349"/>
      <c r="D623" s="349"/>
      <c r="K623" s="350"/>
      <c r="N623" s="156"/>
      <c r="O623" s="351"/>
      <c r="U623" s="185"/>
    </row>
    <row r="624" spans="1:21">
      <c r="A624" s="153"/>
      <c r="C624" s="349"/>
      <c r="D624" s="349"/>
      <c r="K624" s="350"/>
      <c r="N624" s="156"/>
      <c r="O624" s="351"/>
      <c r="U624" s="185"/>
    </row>
    <row r="625" spans="1:21" ht="10.8" thickBot="1">
      <c r="A625" s="279"/>
      <c r="B625" s="165"/>
      <c r="C625" s="549"/>
      <c r="D625" s="549"/>
      <c r="E625" s="165"/>
      <c r="F625" s="165"/>
      <c r="G625" s="166"/>
      <c r="H625" s="165"/>
      <c r="I625" s="165"/>
      <c r="J625" s="165"/>
      <c r="K625" s="578"/>
      <c r="L625" s="165"/>
      <c r="M625" s="165"/>
      <c r="N625" s="428"/>
      <c r="O625" s="582"/>
      <c r="P625" s="165"/>
      <c r="Q625" s="165"/>
      <c r="R625" s="166"/>
      <c r="S625" s="166"/>
      <c r="T625" s="166"/>
      <c r="U625" s="190"/>
    </row>
    <row r="626" spans="1:21">
      <c r="C626" s="349"/>
      <c r="D626" s="349"/>
      <c r="K626" s="350"/>
      <c r="N626" s="156"/>
      <c r="O626" s="351"/>
    </row>
    <row r="627" spans="1:21" ht="10.8" thickBot="1">
      <c r="C627" s="349"/>
      <c r="D627" s="349"/>
      <c r="K627" s="350"/>
      <c r="N627" s="156"/>
      <c r="O627" s="351"/>
    </row>
    <row r="628" spans="1:21">
      <c r="A628" s="514"/>
      <c r="B628" s="196"/>
      <c r="C628" s="550"/>
      <c r="D628" s="550"/>
      <c r="E628" s="196"/>
      <c r="F628" s="196"/>
      <c r="G628" s="198"/>
      <c r="H628" s="196"/>
      <c r="I628" s="196"/>
      <c r="J628" s="196"/>
      <c r="K628" s="579"/>
      <c r="L628" s="196"/>
      <c r="M628" s="196"/>
      <c r="N628" s="431"/>
      <c r="O628" s="583"/>
      <c r="P628" s="196"/>
      <c r="Q628" s="196"/>
      <c r="R628" s="198"/>
      <c r="S628" s="198"/>
      <c r="T628" s="198"/>
      <c r="U628" s="183"/>
    </row>
    <row r="629" spans="1:21">
      <c r="A629" s="153" t="s">
        <v>202</v>
      </c>
      <c r="B629" s="139" t="s">
        <v>357</v>
      </c>
      <c r="C629" s="352">
        <v>38479</v>
      </c>
      <c r="D629" s="352">
        <v>38486</v>
      </c>
      <c r="J629" s="139" t="s">
        <v>19</v>
      </c>
      <c r="K629" s="139" t="s">
        <v>358</v>
      </c>
      <c r="N629" s="156" t="s">
        <v>359</v>
      </c>
      <c r="O629" s="157">
        <v>460</v>
      </c>
      <c r="R629" s="140">
        <v>1</v>
      </c>
      <c r="S629" s="140">
        <v>2</v>
      </c>
      <c r="U629" s="185" t="s">
        <v>232</v>
      </c>
    </row>
    <row r="630" spans="1:21">
      <c r="A630" s="153"/>
      <c r="C630" s="352">
        <v>38535</v>
      </c>
      <c r="D630" s="352">
        <v>38542</v>
      </c>
      <c r="H630" s="139" t="s">
        <v>360</v>
      </c>
      <c r="J630" s="139" t="s">
        <v>19</v>
      </c>
      <c r="N630" s="156"/>
      <c r="O630" s="157">
        <v>860</v>
      </c>
      <c r="R630" s="140">
        <v>1</v>
      </c>
      <c r="U630" s="185"/>
    </row>
    <row r="631" spans="1:21">
      <c r="A631" s="153"/>
      <c r="O631" s="161">
        <f>SUM(O437:O630)</f>
        <v>692</v>
      </c>
      <c r="P631" s="585">
        <f>O631*P253</f>
        <v>0</v>
      </c>
      <c r="R631" s="138">
        <f>SUM(R437:R630)</f>
        <v>2</v>
      </c>
      <c r="U631" s="185"/>
    </row>
    <row r="632" spans="1:21">
      <c r="A632" s="153"/>
      <c r="U632" s="185"/>
    </row>
    <row r="633" spans="1:21">
      <c r="A633" s="153"/>
      <c r="U633" s="185"/>
    </row>
    <row r="634" spans="1:21">
      <c r="A634" s="619" t="s">
        <v>234</v>
      </c>
      <c r="U634" s="185"/>
    </row>
    <row r="635" spans="1:21" ht="10.8" thickBot="1">
      <c r="A635" s="279"/>
      <c r="B635" s="165"/>
      <c r="C635" s="280"/>
      <c r="D635" s="280"/>
      <c r="E635" s="165"/>
      <c r="F635" s="165"/>
      <c r="G635" s="166"/>
      <c r="H635" s="165"/>
      <c r="I635" s="165"/>
      <c r="J635" s="165"/>
      <c r="K635" s="165"/>
      <c r="L635" s="165"/>
      <c r="M635" s="165"/>
      <c r="N635" s="165"/>
      <c r="O635" s="163">
        <f>SUM(O629:O634)</f>
        <v>2012</v>
      </c>
      <c r="P635" s="165"/>
      <c r="Q635" s="165"/>
      <c r="R635" s="164">
        <f>SUM(R629:R634)</f>
        <v>4</v>
      </c>
      <c r="S635" s="166"/>
      <c r="T635" s="166"/>
      <c r="U635" s="190"/>
    </row>
    <row r="637" spans="1:21">
      <c r="O637" s="139">
        <f>7500*0.75</f>
        <v>5625</v>
      </c>
    </row>
    <row r="638" spans="1:21">
      <c r="A638" s="139" t="s">
        <v>467</v>
      </c>
      <c r="O638" s="353"/>
    </row>
    <row r="639" spans="1:21">
      <c r="A639" s="139" t="s">
        <v>468</v>
      </c>
      <c r="N639" s="139" t="s">
        <v>469</v>
      </c>
    </row>
    <row r="647" spans="1:14">
      <c r="A647" s="136"/>
      <c r="B647" s="136"/>
      <c r="C647" s="137"/>
      <c r="D647" s="137"/>
      <c r="E647" s="136"/>
      <c r="F647" s="136"/>
      <c r="G647" s="138"/>
      <c r="H647" s="136"/>
      <c r="I647" s="136"/>
      <c r="J647" s="136"/>
      <c r="K647" s="136"/>
      <c r="L647" s="136"/>
      <c r="M647" s="136"/>
      <c r="N647" s="136"/>
    </row>
    <row r="648" spans="1:14">
      <c r="N648" s="156"/>
    </row>
    <row r="649" spans="1:14">
      <c r="N649" s="156"/>
    </row>
    <row r="650" spans="1:14">
      <c r="C650" s="139"/>
      <c r="D650" s="139"/>
      <c r="N650" s="156"/>
    </row>
    <row r="651" spans="1:14">
      <c r="C651" s="139"/>
      <c r="D651" s="139"/>
      <c r="N651" s="156"/>
    </row>
    <row r="652" spans="1:14">
      <c r="C652" s="139"/>
      <c r="D652" s="139"/>
      <c r="N652" s="156"/>
    </row>
    <row r="653" spans="1:14">
      <c r="C653" s="139"/>
      <c r="D653" s="139"/>
      <c r="N653" s="156"/>
    </row>
    <row r="654" spans="1:14">
      <c r="C654" s="139"/>
      <c r="D654" s="139"/>
      <c r="N654" s="156"/>
    </row>
    <row r="655" spans="1:14">
      <c r="C655" s="139"/>
      <c r="D655" s="139"/>
      <c r="N655" s="156"/>
    </row>
    <row r="656" spans="1:14">
      <c r="C656" s="139"/>
      <c r="D656" s="139"/>
      <c r="N656" s="156"/>
    </row>
    <row r="657" spans="3:14">
      <c r="C657" s="139"/>
      <c r="D657" s="139"/>
      <c r="N657" s="156"/>
    </row>
    <row r="658" spans="3:14">
      <c r="C658" s="139"/>
      <c r="D658" s="139"/>
      <c r="N658" s="156"/>
    </row>
    <row r="659" spans="3:14">
      <c r="C659" s="139"/>
      <c r="D659" s="139"/>
      <c r="N659" s="156"/>
    </row>
    <row r="660" spans="3:14">
      <c r="C660" s="139"/>
      <c r="D660" s="139"/>
      <c r="N660" s="156"/>
    </row>
    <row r="661" spans="3:14">
      <c r="C661" s="139"/>
      <c r="D661" s="139"/>
      <c r="N661" s="156"/>
    </row>
    <row r="662" spans="3:14">
      <c r="C662" s="139"/>
      <c r="D662" s="139"/>
      <c r="N662" s="156"/>
    </row>
    <row r="663" spans="3:14">
      <c r="C663" s="139"/>
      <c r="D663" s="139"/>
      <c r="N663" s="156"/>
    </row>
    <row r="664" spans="3:14">
      <c r="C664" s="139"/>
      <c r="D664" s="139"/>
      <c r="N664" s="156"/>
    </row>
    <row r="665" spans="3:14">
      <c r="C665" s="139"/>
      <c r="D665" s="139"/>
      <c r="N665" s="156"/>
    </row>
    <row r="666" spans="3:14">
      <c r="C666" s="139"/>
      <c r="D666" s="139"/>
      <c r="N666" s="156"/>
    </row>
    <row r="667" spans="3:14">
      <c r="C667" s="139"/>
      <c r="D667" s="139"/>
      <c r="N667" s="156"/>
    </row>
    <row r="668" spans="3:14">
      <c r="C668" s="139"/>
      <c r="D668" s="139"/>
      <c r="N668" s="156"/>
    </row>
    <row r="669" spans="3:14">
      <c r="C669" s="139"/>
      <c r="D669" s="139"/>
      <c r="N669" s="156"/>
    </row>
    <row r="670" spans="3:14">
      <c r="C670" s="139"/>
      <c r="D670" s="139"/>
      <c r="N670" s="156"/>
    </row>
    <row r="671" spans="3:14">
      <c r="C671" s="139"/>
      <c r="D671" s="139"/>
      <c r="N671" s="156"/>
    </row>
    <row r="672" spans="3:14">
      <c r="C672" s="139"/>
      <c r="D672" s="139"/>
      <c r="N672" s="156"/>
    </row>
    <row r="673" spans="3:14">
      <c r="C673" s="139"/>
      <c r="D673" s="139"/>
      <c r="N673" s="156"/>
    </row>
  </sheetData>
  <sortState xmlns:xlrd2="http://schemas.microsoft.com/office/spreadsheetml/2017/richdata2" ref="A2:Z673">
    <sortCondition ref="I2:I673"/>
  </sortState>
  <conditionalFormatting sqref="B82 B115 B147 B190 B246 B310 B388">
    <cfRule type="cellIs" dxfId="55" priority="18" stopIfTrue="1" operator="greaterThanOrEqual">
      <formula>0</formula>
    </cfRule>
    <cfRule type="cellIs" dxfId="54" priority="19" stopIfTrue="1" operator="lessThan">
      <formula>0</formula>
    </cfRule>
  </conditionalFormatting>
  <conditionalFormatting sqref="B83 B116 B148 B191 B247 B311 B389 B431">
    <cfRule type="cellIs" dxfId="53" priority="20" stopIfTrue="1" operator="between">
      <formula>0</formula>
      <formula>1000</formula>
    </cfRule>
    <cfRule type="cellIs" dxfId="52" priority="21" stopIfTrue="1" operator="between">
      <formula>1000</formula>
      <formula>2000</formula>
    </cfRule>
    <cfRule type="cellIs" dxfId="51" priority="22" stopIfTrue="1" operator="greaterThan">
      <formula>2000</formula>
    </cfRule>
  </conditionalFormatting>
  <conditionalFormatting sqref="B430">
    <cfRule type="cellIs" dxfId="50" priority="16" stopIfTrue="1" operator="greaterThanOrEqual">
      <formula>0</formula>
    </cfRule>
    <cfRule type="cellIs" dxfId="49" priority="17" stopIfTrue="1" operator="lessThan">
      <formula>0</formula>
    </cfRule>
  </conditionalFormatting>
  <conditionalFormatting sqref="B465">
    <cfRule type="cellIs" dxfId="48" priority="11" stopIfTrue="1" operator="greaterThanOrEqual">
      <formula>0</formula>
    </cfRule>
    <cfRule type="cellIs" dxfId="47" priority="12" stopIfTrue="1" operator="lessThan">
      <formula>0</formula>
    </cfRule>
  </conditionalFormatting>
  <conditionalFormatting sqref="B466">
    <cfRule type="cellIs" dxfId="46" priority="13" stopIfTrue="1" operator="between">
      <formula>0</formula>
      <formula>1000</formula>
    </cfRule>
    <cfRule type="cellIs" dxfId="45" priority="14" stopIfTrue="1" operator="between">
      <formula>1000</formula>
      <formula>2000</formula>
    </cfRule>
    <cfRule type="cellIs" dxfId="44" priority="15" stopIfTrue="1" operator="greaterThan">
      <formula>2000</formula>
    </cfRule>
  </conditionalFormatting>
  <conditionalFormatting sqref="B508">
    <cfRule type="cellIs" dxfId="43" priority="6" stopIfTrue="1" operator="greaterThanOrEqual">
      <formula>0</formula>
    </cfRule>
    <cfRule type="cellIs" dxfId="42" priority="7" stopIfTrue="1" operator="lessThan">
      <formula>0</formula>
    </cfRule>
  </conditionalFormatting>
  <conditionalFormatting sqref="B509">
    <cfRule type="cellIs" dxfId="41" priority="8" stopIfTrue="1" operator="between">
      <formula>0</formula>
      <formula>1000</formula>
    </cfRule>
    <cfRule type="cellIs" dxfId="40" priority="9" stopIfTrue="1" operator="between">
      <formula>1000</formula>
      <formula>2000</formula>
    </cfRule>
    <cfRule type="cellIs" dxfId="39" priority="10" stopIfTrue="1" operator="greaterThan">
      <formula>2000</formula>
    </cfRule>
  </conditionalFormatting>
  <conditionalFormatting sqref="B562">
    <cfRule type="cellIs" dxfId="38" priority="1" stopIfTrue="1" operator="greaterThanOrEqual">
      <formula>0</formula>
    </cfRule>
    <cfRule type="cellIs" dxfId="37" priority="2" stopIfTrue="1" operator="lessThan">
      <formula>0</formula>
    </cfRule>
  </conditionalFormatting>
  <conditionalFormatting sqref="B563">
    <cfRule type="cellIs" dxfId="36" priority="3" stopIfTrue="1" operator="between">
      <formula>0</formula>
      <formula>1000</formula>
    </cfRule>
    <cfRule type="cellIs" dxfId="35" priority="4" stopIfTrue="1" operator="between">
      <formula>1000</formula>
      <formula>2000</formula>
    </cfRule>
    <cfRule type="cellIs" dxfId="34" priority="5" stopIfTrue="1" operator="greaterThan">
      <formula>2000</formula>
    </cfRule>
  </conditionalFormatting>
  <hyperlinks>
    <hyperlink ref="N3" r:id="rId1" xr:uid="{177E5DE1-E7E5-41A0-92D0-3C79669EB3EF}"/>
    <hyperlink ref="N281" r:id="rId2" xr:uid="{F5F728B7-A2FF-4000-A1CE-B4EFB91BB09E}"/>
    <hyperlink ref="N157" r:id="rId3" xr:uid="{AFA4BF16-9C14-4DFD-B397-8E2BA0B6794B}"/>
    <hyperlink ref="N6" r:id="rId4" xr:uid="{F8C2CA9E-2F94-41D2-BCA0-35FF4C7E2322}"/>
    <hyperlink ref="N5" r:id="rId5" xr:uid="{6F53F777-2A54-4FD6-9B52-8C49406A10A8}"/>
    <hyperlink ref="N156" r:id="rId6" xr:uid="{6490AC52-8CC3-4DF1-95DF-63CBB2E53FF1}"/>
    <hyperlink ref="N280" r:id="rId7" xr:uid="{09864686-1F17-4C1C-9171-2F729C1A2F96}"/>
    <hyperlink ref="N282" r:id="rId8" xr:uid="{B1231C2E-5678-4B46-96C5-EA45F3E4D7DD}"/>
    <hyperlink ref="N10" r:id="rId9" xr:uid="{AF7A73C0-8321-446B-BC15-A7ABE901671C}"/>
    <hyperlink ref="N162" r:id="rId10" xr:uid="{A216471C-87A1-489C-92A4-F63ADAC9035C}"/>
    <hyperlink ref="N8" r:id="rId11" xr:uid="{EDCE5F28-9659-4986-B017-9FC1AED82F28}"/>
    <hyperlink ref="N163" r:id="rId12" xr:uid="{E9154019-086C-455D-A1B8-0BF4F323AF08}"/>
    <hyperlink ref="N15" r:id="rId13" xr:uid="{1503C5A6-B39B-40AD-B3AB-CCB13B6E18FD}"/>
    <hyperlink ref="N9" r:id="rId14" xr:uid="{16E319BA-A2DE-476B-95B4-5B1B2DF7B9E6}"/>
    <hyperlink ref="N252" r:id="rId15" xr:uid="{2A1E1488-659F-48FD-93CE-E0445CE480C3}"/>
    <hyperlink ref="N12" r:id="rId16" xr:uid="{65DA6119-84F2-4201-AF9A-5B67DFB25BDA}"/>
    <hyperlink ref="N14" r:id="rId17" xr:uid="{482BAB49-5124-469D-A392-F795180CC505}"/>
    <hyperlink ref="N306" r:id="rId18" xr:uid="{97F29C02-3D3A-41B1-8D5D-92A81F2F81B0}"/>
    <hyperlink ref="N17" r:id="rId19" xr:uid="{34CD178D-353C-4C55-8EA5-A7A296D17617}"/>
    <hyperlink ref="N253" r:id="rId20" xr:uid="{A05DA206-A7B2-4411-A258-FACC8EDCE99C}"/>
    <hyperlink ref="N391" r:id="rId21" xr:uid="{1AC5A50D-1B2B-4401-B57F-6E0CF16239ED}"/>
    <hyperlink ref="N24" r:id="rId22" xr:uid="{C7C478CD-8B73-440A-AAB5-3ED22869A501}"/>
    <hyperlink ref="N390" r:id="rId23" xr:uid="{4BA791CC-8418-4445-B63E-1A5336906B5F}"/>
    <hyperlink ref="N25" r:id="rId24" xr:uid="{6B0D6302-3AAF-4EBD-88B5-5B5D250290C7}"/>
    <hyperlink ref="N165" r:id="rId25" xr:uid="{DDF863A0-8253-4865-B0BE-BF35579116AE}"/>
    <hyperlink ref="N18" r:id="rId26" xr:uid="{BE1EB607-C0CD-4AB1-9292-50AB6A01C15C}"/>
    <hyperlink ref="N19" r:id="rId27" xr:uid="{2C67E3F2-2B23-46D7-841F-2AEAA16603C4}"/>
    <hyperlink ref="N21" r:id="rId28" xr:uid="{1393A708-20E6-450B-8506-F05BAA8837F3}"/>
    <hyperlink ref="N308" r:id="rId29" xr:uid="{66980DB4-4111-4B94-BC14-D5EB6B5A9A8E}"/>
    <hyperlink ref="N254" r:id="rId30" xr:uid="{D6706F76-43FD-475B-A881-B3E75C4828B0}"/>
    <hyperlink ref="N179" r:id="rId31" xr:uid="{073223B0-B735-4A4E-8919-FFB94E782CDF}"/>
    <hyperlink ref="N166" r:id="rId32" xr:uid="{AAFBB564-4593-48CC-AF94-EB42C989A416}"/>
    <hyperlink ref="N26" r:id="rId33" xr:uid="{EE6E8851-682F-4739-AFB8-A45498F49DFA}"/>
    <hyperlink ref="N185" r:id="rId34" xr:uid="{AB7734B8-C268-4056-9E19-5ABEFC3E32EC}"/>
    <hyperlink ref="N168" r:id="rId35" xr:uid="{AA92B82C-8D07-43D2-A860-EEDBF16DD896}"/>
    <hyperlink ref="N184" r:id="rId36" xr:uid="{6B66B51A-F831-402F-9E83-2920263B6C25}"/>
    <hyperlink ref="N311" r:id="rId37" xr:uid="{F7A4437B-9A29-4BC0-9944-182A186068AA}"/>
    <hyperlink ref="N33" r:id="rId38" xr:uid="{A6D3A486-A8D4-4469-9784-D53C45866F70}"/>
    <hyperlink ref="N187" r:id="rId39" xr:uid="{40CD26C3-4BA4-4482-B906-58007C0FC993}"/>
    <hyperlink ref="N186" r:id="rId40" display="mailto:kiki.tipunch@wanadoo.fr" xr:uid="{016FA8C3-8775-4F7D-BFBB-E3B0B716F762}"/>
    <hyperlink ref="N312" r:id="rId41" xr:uid="{1FA4197E-A53D-4387-9E24-E2E25DBE93B3}"/>
    <hyperlink ref="N28" r:id="rId42" xr:uid="{E0B62604-1E80-467D-9BF7-6CBCB24BC0DB}"/>
    <hyperlink ref="N31" r:id="rId43" xr:uid="{04E19163-1523-4FC4-BC6F-8825AF9B6BDE}"/>
    <hyperlink ref="N147" r:id="rId44" xr:uid="{F10DDD6E-41BE-4847-810F-056785017D18}"/>
    <hyperlink ref="N190" r:id="rId45" display="duchenenicola@yahoo.fr " xr:uid="{894ED4EC-8C70-4C59-8FE6-4325B17B587B}"/>
    <hyperlink ref="N255" r:id="rId46" xr:uid="{CB4A5263-E3AA-49A3-8BBD-F09C1480317D}"/>
    <hyperlink ref="N36" r:id="rId47" xr:uid="{20501F59-2035-4E5F-BAAF-0F4C60C2A0C4}"/>
    <hyperlink ref="N188" r:id="rId48" xr:uid="{709EE420-220D-4FAC-8C2F-FE6E82436D93}"/>
    <hyperlink ref="N32" r:id="rId49" xr:uid="{4A3B82C9-B7F7-4E7E-B066-7896C77A931C}"/>
    <hyperlink ref="N313" r:id="rId50" xr:uid="{8CC74627-0651-4BB1-8BCC-EAD1820FF7B3}"/>
    <hyperlink ref="N191" r:id="rId51" xr:uid="{E5135506-B00D-4D27-9094-C19BE17A91A1}"/>
    <hyperlink ref="N37" r:id="rId52" xr:uid="{2106DF07-AEF9-405E-8B18-C5D0ABD9ACC9}"/>
    <hyperlink ref="N194" r:id="rId53" xr:uid="{933A6BE6-47A0-4F07-879D-F20F4DC67F35}"/>
    <hyperlink ref="N38" r:id="rId54" xr:uid="{9B79F507-B2CD-402A-8158-0AAD56E43C63}"/>
    <hyperlink ref="N275" r:id="rId55" xr:uid="{3E9E1A63-3D29-4684-B391-D697259AE824}"/>
    <hyperlink ref="N193" r:id="rId56" xr:uid="{6DBAE10B-8A2B-4A94-BAE7-9E9A523EC681}"/>
    <hyperlink ref="N45" r:id="rId57" xr:uid="{0A9727C6-E445-4370-AE53-7BD894B06357}"/>
    <hyperlink ref="N40" r:id="rId58" xr:uid="{4E96CF02-B59E-4419-AB89-922D40D6851D}"/>
    <hyperlink ref="N192" r:id="rId59" xr:uid="{D0BD0074-B220-4F16-8D29-D0117E6B3CCF}"/>
    <hyperlink ref="N430" r:id="rId60" xr:uid="{940624C0-5B44-46FB-BE00-1845B102D761}"/>
    <hyperlink ref="N149" r:id="rId61" xr:uid="{FA291395-745B-45C4-9BAA-34190FCB5DBA}"/>
    <hyperlink ref="N196" r:id="rId62" xr:uid="{8C8D3BE3-CEC9-49A7-BB05-45FAF33A372E}"/>
    <hyperlink ref="N195" r:id="rId63" xr:uid="{2A5C7DEE-F3F9-4141-9C57-B7F6BDE4DBD1}"/>
    <hyperlink ref="N148" r:id="rId64" xr:uid="{364E6B13-EB4C-4693-BD86-795AD52CB7C8}"/>
    <hyperlink ref="N41" r:id="rId65" xr:uid="{CF51BF24-2CD9-413D-98EF-0C0C05A828D6}"/>
    <hyperlink ref="N239" r:id="rId66" display="erwanhubert@free.fr" xr:uid="{F94982DF-C1AB-4AD9-A7D5-DEA0394E5610}"/>
    <hyperlink ref="N51" r:id="rId67" xr:uid="{E10D6C4A-389F-49EC-BA8E-E2F52CECBCAE}"/>
    <hyperlink ref="N44" r:id="rId68" xr:uid="{F7444462-ED62-4C89-8707-291894F732EF}"/>
    <hyperlink ref="N318" r:id="rId69" xr:uid="{B2E5F808-A40C-44D7-8C17-71F589A1FB3A}"/>
    <hyperlink ref="N48" r:id="rId70" xr:uid="{DE699958-B328-45DD-8210-27D76754C8E6}"/>
    <hyperlink ref="N52" r:id="rId71" xr:uid="{03537A3E-0E09-493F-BCD6-677F145E4283}"/>
    <hyperlink ref="N57" r:id="rId72" xr:uid="{C1002A08-05CE-4328-99FE-2635E0106209}"/>
    <hyperlink ref="N153" r:id="rId73" xr:uid="{64867C72-AF1D-4EE7-8334-17FC8B9C62F1}"/>
    <hyperlink ref="N150" r:id="rId74" xr:uid="{E136B4F1-4303-47BF-BB9A-6C75D5977E9D}"/>
    <hyperlink ref="N54" r:id="rId75" xr:uid="{E299DE70-9F41-4AD3-A68C-5AD22C0B258E}"/>
    <hyperlink ref="N197" r:id="rId76" xr:uid="{B48245E3-A7F7-48C1-81E2-B79D240359B6}"/>
    <hyperlink ref="N53" r:id="rId77" xr:uid="{7523D83A-DD79-425F-9098-30F9905AD829}"/>
    <hyperlink ref="N56" r:id="rId78" xr:uid="{EBAF406F-F69D-44F5-8A81-8135B30B21F7}"/>
    <hyperlink ref="N316" r:id="rId79" xr:uid="{79607E39-E497-4470-8C12-E417B98B641F}"/>
    <hyperlink ref="N55" r:id="rId80" xr:uid="{B5799CD1-580D-4092-942B-2F6BDD03740D}"/>
    <hyperlink ref="N199" r:id="rId81" xr:uid="{909DBB2C-78E6-4B7C-9F5E-ACF5A90386D2}"/>
    <hyperlink ref="N303" r:id="rId82" display="erwanhubert@free.fr" xr:uid="{282D5A92-2AD9-4ECF-A42A-FD194A7B8FDE}"/>
    <hyperlink ref="N63" r:id="rId83" xr:uid="{753E0BE3-7A42-4005-AF9D-5794040FC502}"/>
    <hyperlink ref="N65" r:id="rId84" xr:uid="{6BB7BD24-EFE3-40AF-B9E6-1D025D9792B8}"/>
    <hyperlink ref="N66" r:id="rId85" xr:uid="{10913780-323D-4CBF-94B5-19D3D907E986}"/>
    <hyperlink ref="N317" r:id="rId86" xr:uid="{10E193C6-C05F-4BA1-9ED2-87A006D2569F}"/>
    <hyperlink ref="N58" r:id="rId87" xr:uid="{57732109-A93D-4398-8745-628CE8AE5754}"/>
    <hyperlink ref="N60" r:id="rId88" xr:uid="{CD4F43E4-A948-4E84-9479-5D4B3B36605F}"/>
    <hyperlink ref="N202" r:id="rId89" xr:uid="{6CF5F47F-15FB-4D8A-BF9C-D3A8F3FEEE0D}"/>
    <hyperlink ref="N258" r:id="rId90" xr:uid="{DC1979A0-34C6-445F-960F-6A6FE90F977A}"/>
    <hyperlink ref="N260" r:id="rId91" xr:uid="{768523C8-E1CD-4AC7-8DDC-9A05D325C695}"/>
    <hyperlink ref="N61" r:id="rId92" xr:uid="{EE935606-D813-465A-A9AF-BF8AC68CE350}"/>
    <hyperlink ref="N64" r:id="rId93" xr:uid="{54838C54-920D-491E-ABE9-3D5E19114515}"/>
    <hyperlink ref="N276" r:id="rId94" xr:uid="{EF06CB76-7E61-4E13-AD4F-A0355A512115}"/>
    <hyperlink ref="N201" r:id="rId95" xr:uid="{15B9FE43-9041-4AB8-AD3E-40CE9EAB001E}"/>
    <hyperlink ref="N259" r:id="rId96" xr:uid="{97707472-2A0B-45AA-A4A5-4464A1FF7212}"/>
    <hyperlink ref="N200" r:id="rId97" xr:uid="{1B8C2FDC-10AF-4B23-B448-9623338E22A8}"/>
    <hyperlink ref="N203" r:id="rId98" xr:uid="{FDC402CA-F8A8-4508-B212-D50A8B469374}"/>
    <hyperlink ref="N67" r:id="rId99" xr:uid="{8C6B56B8-DB09-4FB9-A5FB-DB2071F0C951}"/>
    <hyperlink ref="N277" r:id="rId100" xr:uid="{34489514-4A60-41C2-8393-009B91CD6F3A}"/>
    <hyperlink ref="N68" r:id="rId101" xr:uid="{50EF5B8A-4AC1-4DF6-B4EC-A0269E7B2EAF}"/>
    <hyperlink ref="N344" r:id="rId102" xr:uid="{94BD2371-D23B-4C0C-83F7-3FAEF3F01256}"/>
    <hyperlink ref="N261" r:id="rId103" xr:uid="{96918ED4-26A2-44B0-80E9-9F97CF84D520}"/>
    <hyperlink ref="N69" r:id="rId104" xr:uid="{714EA975-1404-4328-867B-D6A40AC9EF5F}"/>
    <hyperlink ref="N381" r:id="rId105" display="erwanhubert@free.fr" xr:uid="{4E777B15-49C4-4380-A4B1-2B9D79773613}"/>
    <hyperlink ref="N71" r:id="rId106" xr:uid="{DAD8961A-64FE-4B49-BFBB-F1F14531A515}"/>
    <hyperlink ref="N204" r:id="rId107" xr:uid="{73EAE0EC-4450-4886-81B0-978A004EBF7E}"/>
    <hyperlink ref="N320" r:id="rId108" xr:uid="{35FD51F8-934C-422A-B4B7-C7DB87743B8C}"/>
    <hyperlink ref="N319" r:id="rId109" xr:uid="{3AAD5D3A-4FDF-42A3-93F8-2CAE66797B21}"/>
    <hyperlink ref="N74" r:id="rId110" xr:uid="{723AA789-F4F2-487F-9F52-F654903C2178}"/>
    <hyperlink ref="N262" r:id="rId111" xr:uid="{3383D8E4-C51E-4A2C-B184-3545412191ED}"/>
    <hyperlink ref="N206" r:id="rId112" xr:uid="{6FFCD19F-4372-4E17-9964-B4637964400D}"/>
    <hyperlink ref="N207" r:id="rId113" xr:uid="{ABFE9E5B-8BDE-4EED-9CC3-BD54AF789C62}"/>
    <hyperlink ref="N139" r:id="rId114" xr:uid="{014E9347-465D-4166-939C-9744506B5BFB}"/>
    <hyperlink ref="N245" r:id="rId115" xr:uid="{4CA2CE1B-7EB4-44F8-AB04-2DD99C089534}"/>
    <hyperlink ref="N141" r:id="rId116" xr:uid="{5E182938-06DE-4CAD-8707-1D7C6EF3A61C}"/>
    <hyperlink ref="N248" r:id="rId117" xr:uid="{194D224A-D7ED-4A9A-9947-6ED2DF3B04B9}"/>
    <hyperlink ref="N137" r:id="rId118" xr:uid="{FCA7E36E-A119-432B-9BCE-8E672264F396}"/>
    <hyperlink ref="N271" r:id="rId119" xr:uid="{1716EB78-1197-4D05-9F37-1E1A5636A676}"/>
    <hyperlink ref="N138" r:id="rId120" xr:uid="{D9DFF814-0871-405A-B49C-A760A2306965}"/>
    <hyperlink ref="N321" r:id="rId121" xr:uid="{396CCD1A-D6ED-4809-87DA-6AAC9843F76B}"/>
    <hyperlink ref="N263" r:id="rId122" xr:uid="{43B45BDE-7BC4-4BCF-AF11-F2E9DF7F8991}"/>
    <hyperlink ref="N72" r:id="rId123" xr:uid="{ED10E5CC-8A27-454F-B2A1-09B8E6516C9E}"/>
    <hyperlink ref="N76" r:id="rId124" xr:uid="{68BA3E26-C881-4F60-9377-AB2D486719BA}"/>
    <hyperlink ref="N91" r:id="rId125" display="mailto:sandra@rudelwohl-zach.de" xr:uid="{21EAF695-171C-415D-9850-B14783E5DAD7}"/>
    <hyperlink ref="N77" r:id="rId126" xr:uid="{C675EC33-68DE-45DA-8D25-92AF36F0ACCE}"/>
    <hyperlink ref="N209" r:id="rId127" xr:uid="{964CB958-4FD2-4BF8-B37A-4E4D66B1A46D}"/>
    <hyperlink ref="N81" r:id="rId128" xr:uid="{DBA8C396-0EEC-4604-BE8C-3326A95A097A}"/>
    <hyperlink ref="N86" r:id="rId129" xr:uid="{5C0D214A-2DB0-415A-A641-2CEBB1CF3060}"/>
    <hyperlink ref="N82" r:id="rId130" xr:uid="{CA9BCA3B-39D2-46C3-9E80-2023045D299B}"/>
    <hyperlink ref="N251" r:id="rId131" xr:uid="{576F45A1-6544-480F-9031-25629E3BE918}"/>
    <hyperlink ref="N70" r:id="rId132" xr:uid="{D8856A09-D429-48D4-91DF-EB1EBD715DFE}"/>
    <hyperlink ref="N144" r:id="rId133" xr:uid="{8323846F-CC10-4593-B047-29E1922130FC}"/>
    <hyperlink ref="N264" r:id="rId134" xr:uid="{347F510E-ABD8-482F-A753-695C4D76BDC2}"/>
    <hyperlink ref="N210" r:id="rId135" xr:uid="{586EC7D9-7C27-45A3-B45B-9A48F3A2ACE9}"/>
    <hyperlink ref="L83" r:id="rId136" display="tel:+4915115307260" xr:uid="{D5E068BA-5FB5-448E-BA85-672483788E7E}"/>
    <hyperlink ref="N90" r:id="rId137" display="mailto:gmmanzi@aol.com" xr:uid="{66D080A7-ECE6-4603-A158-D7741956B85A}"/>
    <hyperlink ref="N89" r:id="rId138" xr:uid="{98C8587B-36F6-4080-B6A1-31E037C55FD3}"/>
    <hyperlink ref="N211" r:id="rId139" xr:uid="{07F83AF1-069D-4DF7-8117-840E76A9E85E}"/>
    <hyperlink ref="N84" r:id="rId140" xr:uid="{21B6BDF6-9126-457A-A37A-D65BFDE3A7BC}"/>
    <hyperlink ref="N83" r:id="rId141" xr:uid="{7EF9936C-1336-44BB-879C-B3C4CAA0CFE3}"/>
    <hyperlink ref="N87" r:id="rId142" xr:uid="{3CC0E76A-709E-4E62-A136-80BBCFAED6C5}"/>
    <hyperlink ref="N278" r:id="rId143" xr:uid="{2B98FA77-1746-4B6A-900B-09AB3F9BBDC3}"/>
    <hyperlink ref="N145" r:id="rId144" xr:uid="{6A4AF8C1-D949-4FB3-87C2-4D78A2105596}"/>
    <hyperlink ref="N94" r:id="rId145" xr:uid="{DC644B0E-D22F-4903-A901-78F2B8CE1606}"/>
    <hyperlink ref="N96" r:id="rId146" xr:uid="{C6BA1714-ABC9-48A4-B052-EE39DC80E36A}"/>
    <hyperlink ref="N92" r:id="rId147" xr:uid="{4E68CF41-9237-4538-8E9A-6E2E6B6F6C3E}"/>
    <hyperlink ref="N322" r:id="rId148" xr:uid="{DCA232E7-9E48-40FA-8C4E-79524825E215}"/>
    <hyperlink ref="N100" r:id="rId149" xr:uid="{17B7364C-0A8B-4513-9943-5804EA428D78}"/>
    <hyperlink ref="N266" r:id="rId150" xr:uid="{0D7EAA82-3980-42C4-8DBD-6EDB6864D53C}"/>
    <hyperlink ref="N103" r:id="rId151" xr:uid="{D0560979-7F0A-453B-99A2-4D0A8CD6973E}"/>
    <hyperlink ref="N106" r:id="rId152" xr:uid="{A8F64F43-33C7-48CB-8FEB-F69EDAF1B978}"/>
    <hyperlink ref="N97" r:id="rId153" xr:uid="{94177C0A-DDF2-4D0F-B9BC-848D0C818917}"/>
    <hyperlink ref="N143" r:id="rId154" xr:uid="{9608CB91-2C43-4F94-8DF9-D47C1749ADFF}"/>
    <hyperlink ref="N102" r:id="rId155" xr:uid="{7738FE2D-6247-4F5B-9FAD-BB7DEA0DA7E4}"/>
    <hyperlink ref="N99" r:id="rId156" xr:uid="{E755EFF4-F9F6-44AE-BC06-D040F72349D6}"/>
    <hyperlink ref="N104" r:id="rId157" xr:uid="{138D3EEC-ECA4-419B-A2A2-89134CC4AAD8}"/>
    <hyperlink ref="N146" r:id="rId158" xr:uid="{9331DBA8-BB7F-4F57-85E2-B59B9B0759DB}"/>
    <hyperlink ref="N323" r:id="rId159" xr:uid="{EE997A69-7FCC-49EE-AC21-D8906796290D}"/>
    <hyperlink ref="N101" r:id="rId160" xr:uid="{BD184403-C4D6-4AA0-9BD7-E53550A79371}"/>
    <hyperlink ref="N265" r:id="rId161" xr:uid="{1BF44317-760E-455A-8422-30D36768C96F}"/>
    <hyperlink ref="N212" r:id="rId162" xr:uid="{41511E30-7EA3-47E0-964E-F4B060F26307}"/>
    <hyperlink ref="N108" r:id="rId163" xr:uid="{D5F6FE70-98E3-4A4D-B62F-C9504F037E9E}"/>
    <hyperlink ref="N107" r:id="rId164" xr:uid="{7B653C13-51CB-4A0E-8276-74E72F0F6B0D}"/>
    <hyperlink ref="N267" r:id="rId165" xr:uid="{9DC26A54-0242-433C-81B5-16F240FA0B4A}"/>
    <hyperlink ref="N116" r:id="rId166" xr:uid="{77EFA34A-BDD0-43AF-B377-9CEC99CCE650}"/>
    <hyperlink ref="N250" r:id="rId167" xr:uid="{B24E94AC-593C-4D29-A497-5FF61CD8AB5D}"/>
    <hyperlink ref="N117" r:id="rId168" xr:uid="{CD41A34C-A8B0-45FF-9C1B-3DCF36D3261F}"/>
    <hyperlink ref="N105" r:id="rId169" xr:uid="{EE9446FE-28DC-46A1-AA16-1AC9D7583D1B}"/>
    <hyperlink ref="N327" r:id="rId170" xr:uid="{085387EE-23EE-4F3E-B18B-673B60C8AB54}"/>
    <hyperlink ref="N112" r:id="rId171" xr:uid="{A5AC584D-1AF8-4ADC-8983-C71316CEA23E}"/>
    <hyperlink ref="N123" r:id="rId172" xr:uid="{D0203469-1312-4D5E-8C69-E97AFAEAF97A}"/>
    <hyperlink ref="N142" r:id="rId173" xr:uid="{2F47053B-B23E-4A3D-A59A-F20B10633EB0}"/>
    <hyperlink ref="N109" r:id="rId174" xr:uid="{98B8CC4B-DEA8-4467-A87A-5C2FF617F1D9}"/>
    <hyperlink ref="N119" r:id="rId175" xr:uid="{8FA8878D-FD71-4CBF-8D8E-23838808DBF6}"/>
    <hyperlink ref="N121" r:id="rId176" xr:uid="{B3FBBA0D-C17F-43F7-88CE-BB40E256843C}"/>
    <hyperlink ref="N124" r:id="rId177" xr:uid="{0F6981F7-E94F-44E8-9C90-55118115C915}"/>
    <hyperlink ref="N110" r:id="rId178" xr:uid="{4FD5D6CC-7522-407C-841C-74241D0665CA}"/>
    <hyperlink ref="N115" r:id="rId179" xr:uid="{2726C2F8-BBE9-4E21-A0B7-BC628EDED18A}"/>
    <hyperlink ref="N134" r:id="rId180" xr:uid="{9246A264-76E3-4E08-8677-249A6F576FDA}"/>
    <hyperlink ref="N216" r:id="rId181" xr:uid="{CF73E248-7AFE-4840-A0E2-E1A09338DE7D}"/>
    <hyperlink ref="N135" r:id="rId182" xr:uid="{DA930F78-B003-4D7D-AB7B-CCD3D44D7957}"/>
    <hyperlink ref="N270" r:id="rId183" xr:uid="{454BA41A-AD0F-40D7-A0C0-28BA8FDC2166}"/>
    <hyperlink ref="N629" r:id="rId184" xr:uid="{F80A8F2F-A8A1-4589-B8EE-86AD66C2278C}"/>
    <hyperlink ref="N130" r:id="rId185" xr:uid="{F0F739E7-EE7E-4689-AFF6-C7782A80298D}"/>
    <hyperlink ref="N125" r:id="rId186" xr:uid="{CEFD8A0C-14A4-4A62-A8BE-FCA5E0387DE7}"/>
    <hyperlink ref="N111" r:id="rId187" xr:uid="{0C8EFD7E-21BF-4C0A-B529-15D7D331896A}"/>
    <hyperlink ref="N268" r:id="rId188" xr:uid="{8E01F208-6485-4538-AB6B-27203CABD401}"/>
    <hyperlink ref="N326" r:id="rId189" xr:uid="{882C1DB1-ABD4-47D1-9400-5761478D8F03}"/>
    <hyperlink ref="N325" r:id="rId190" xr:uid="{3043E6EE-9A18-4A68-82DD-154488854CC4}"/>
    <hyperlink ref="N129" r:id="rId191" xr:uid="{66A194E0-3DD1-4DA8-95BF-FFA6F56CFCA7}"/>
    <hyperlink ref="N128" r:id="rId192" xr:uid="{916CF286-F3A9-411B-99A2-017B47401DF9}"/>
    <hyperlink ref="N118" r:id="rId193" xr:uid="{3F3F505A-E818-459A-952B-847DB4FD8532}"/>
    <hyperlink ref="N132" r:id="rId194" xr:uid="{A9FA7415-4E95-41FC-9263-812296960B7A}"/>
    <hyperlink ref="N2" r:id="rId195" xr:uid="{7CF33832-D000-4D32-96D0-10B11D84A8FC}"/>
    <hyperlink ref="N330" r:id="rId196" xr:uid="{F699AB0E-7037-4684-8A3D-DB7B14AADFFB}"/>
    <hyperlink ref="N126" r:id="rId197" xr:uid="{67FD85CE-C8FB-4EBF-A2AA-0179948E5565}"/>
    <hyperlink ref="N269" r:id="rId198" xr:uid="{16FAD0F1-7257-419C-9B93-159D03F41265}"/>
    <hyperlink ref="N328" r:id="rId199" xr:uid="{77D43763-3250-44AC-9065-1CB10AA5E0E7}"/>
    <hyperlink ref="N127" r:id="rId200" xr:uid="{923B78FD-20EC-4EF2-B9F2-8A134AECBA0B}"/>
    <hyperlink ref="N329" r:id="rId201" xr:uid="{82CE9100-B310-4D49-A754-1F1CD4F6216E}"/>
    <hyperlink ref="N131" r:id="rId202" xr:uid="{01583271-59EC-4D98-BAEE-6501B88F5F3B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07436-92AC-46C4-99DB-3E41E8F210FA}">
  <dimension ref="A1:A110"/>
  <sheetViews>
    <sheetView topLeftCell="A49" workbookViewId="0">
      <selection activeCell="A59" sqref="A59:A77"/>
    </sheetView>
  </sheetViews>
  <sheetFormatPr baseColWidth="10" defaultRowHeight="13.2"/>
  <sheetData>
    <row r="1" spans="1:1">
      <c r="A1" s="49" t="s">
        <v>302</v>
      </c>
    </row>
    <row r="2" spans="1:1">
      <c r="A2" s="128" t="s">
        <v>1690</v>
      </c>
    </row>
    <row r="3" spans="1:1">
      <c r="A3" s="50" t="s">
        <v>1203</v>
      </c>
    </row>
    <row r="4" spans="1:1">
      <c r="A4" s="50" t="s">
        <v>546</v>
      </c>
    </row>
    <row r="5" spans="1:1">
      <c r="A5" s="835" t="s">
        <v>1743</v>
      </c>
    </row>
    <row r="6" spans="1:1">
      <c r="A6" s="128" t="s">
        <v>2571</v>
      </c>
    </row>
    <row r="7" spans="1:1">
      <c r="A7" s="897" t="s">
        <v>1916</v>
      </c>
    </row>
    <row r="8" spans="1:1">
      <c r="A8" s="50" t="s">
        <v>1168</v>
      </c>
    </row>
    <row r="9" spans="1:1">
      <c r="A9" s="1749" t="s">
        <v>1684</v>
      </c>
    </row>
    <row r="10" spans="1:1">
      <c r="A10" s="50" t="s">
        <v>990</v>
      </c>
    </row>
    <row r="11" spans="1:1">
      <c r="A11" s="50" t="s">
        <v>1292</v>
      </c>
    </row>
    <row r="12" spans="1:1">
      <c r="A12" s="50" t="s">
        <v>731</v>
      </c>
    </row>
    <row r="13" spans="1:1">
      <c r="A13" s="50" t="s">
        <v>434</v>
      </c>
    </row>
    <row r="14" spans="1:1" ht="13.8" thickBot="1">
      <c r="A14" s="1750" t="s">
        <v>1004</v>
      </c>
    </row>
    <row r="15" spans="1:1">
      <c r="A15" s="50" t="s">
        <v>852</v>
      </c>
    </row>
    <row r="16" spans="1:1">
      <c r="A16" s="51" t="s">
        <v>402</v>
      </c>
    </row>
    <row r="17" spans="1:1">
      <c r="A17" s="1198" t="s">
        <v>1068</v>
      </c>
    </row>
    <row r="18" spans="1:1">
      <c r="A18" s="128" t="s">
        <v>2757</v>
      </c>
    </row>
    <row r="19" spans="1:1">
      <c r="A19" s="50" t="s">
        <v>1342</v>
      </c>
    </row>
    <row r="20" spans="1:1">
      <c r="A20" s="50" t="s">
        <v>928</v>
      </c>
    </row>
    <row r="21" spans="1:1">
      <c r="A21" s="50" t="s">
        <v>727</v>
      </c>
    </row>
    <row r="22" spans="1:1">
      <c r="A22" s="69" t="s">
        <v>800</v>
      </c>
    </row>
    <row r="23" spans="1:1">
      <c r="A23" s="50" t="s">
        <v>1099</v>
      </c>
    </row>
    <row r="24" spans="1:1">
      <c r="A24" s="128" t="s">
        <v>1735</v>
      </c>
    </row>
    <row r="25" spans="1:1">
      <c r="A25" s="50" t="s">
        <v>825</v>
      </c>
    </row>
    <row r="26" spans="1:1">
      <c r="A26" s="128" t="s">
        <v>1785</v>
      </c>
    </row>
    <row r="27" spans="1:1">
      <c r="A27" s="50" t="s">
        <v>482</v>
      </c>
    </row>
    <row r="28" spans="1:1">
      <c r="A28" s="63" t="s">
        <v>704</v>
      </c>
    </row>
    <row r="29" spans="1:1">
      <c r="A29" s="63" t="s">
        <v>754</v>
      </c>
    </row>
    <row r="30" spans="1:1">
      <c r="A30" s="50" t="s">
        <v>1042</v>
      </c>
    </row>
    <row r="31" spans="1:1">
      <c r="A31" s="69" t="s">
        <v>1034</v>
      </c>
    </row>
    <row r="32" spans="1:1">
      <c r="A32" s="50" t="s">
        <v>1409</v>
      </c>
    </row>
    <row r="33" spans="1:1">
      <c r="A33" s="823" t="s">
        <v>1488</v>
      </c>
    </row>
    <row r="34" spans="1:1">
      <c r="A34" s="50" t="s">
        <v>572</v>
      </c>
    </row>
    <row r="35" spans="1:1">
      <c r="A35" s="50" t="s">
        <v>1096</v>
      </c>
    </row>
    <row r="36" spans="1:1">
      <c r="A36" s="128" t="s">
        <v>3070</v>
      </c>
    </row>
    <row r="37" spans="1:1">
      <c r="A37" s="50" t="s">
        <v>593</v>
      </c>
    </row>
    <row r="38" spans="1:1">
      <c r="A38" s="50" t="s">
        <v>657</v>
      </c>
    </row>
    <row r="39" spans="1:1">
      <c r="A39" s="903" t="s">
        <v>2442</v>
      </c>
    </row>
    <row r="40" spans="1:1">
      <c r="A40" s="50" t="s">
        <v>174</v>
      </c>
    </row>
    <row r="41" spans="1:1">
      <c r="A41" s="365" t="s">
        <v>2877</v>
      </c>
    </row>
    <row r="42" spans="1:1">
      <c r="A42" s="365" t="s">
        <v>1906</v>
      </c>
    </row>
    <row r="43" spans="1:1">
      <c r="A43" s="50" t="s">
        <v>967</v>
      </c>
    </row>
    <row r="44" spans="1:1">
      <c r="A44" s="50" t="s">
        <v>609</v>
      </c>
    </row>
    <row r="45" spans="1:1">
      <c r="A45" s="50" t="s">
        <v>1680</v>
      </c>
    </row>
    <row r="46" spans="1:1">
      <c r="A46" s="362" t="s">
        <v>2825</v>
      </c>
    </row>
    <row r="47" spans="1:1">
      <c r="A47" s="50" t="s">
        <v>536</v>
      </c>
    </row>
    <row r="48" spans="1:1">
      <c r="A48" s="365" t="s">
        <v>2865</v>
      </c>
    </row>
    <row r="49" spans="1:1">
      <c r="A49" s="50" t="s">
        <v>514</v>
      </c>
    </row>
    <row r="50" spans="1:1">
      <c r="A50" s="50" t="s">
        <v>525</v>
      </c>
    </row>
    <row r="51" spans="1:1">
      <c r="A51" s="50" t="s">
        <v>784</v>
      </c>
    </row>
    <row r="52" spans="1:1">
      <c r="A52" s="128" t="s">
        <v>1727</v>
      </c>
    </row>
    <row r="53" spans="1:1">
      <c r="A53" s="63" t="s">
        <v>743</v>
      </c>
    </row>
    <row r="54" spans="1:1">
      <c r="A54" s="50" t="s">
        <v>638</v>
      </c>
    </row>
    <row r="55" spans="1:1">
      <c r="A55" s="128" t="s">
        <v>2284</v>
      </c>
    </row>
    <row r="56" spans="1:1">
      <c r="A56" s="51" t="s">
        <v>1344</v>
      </c>
    </row>
    <row r="57" spans="1:1">
      <c r="A57" s="50" t="s">
        <v>1394</v>
      </c>
    </row>
    <row r="58" spans="1:1">
      <c r="A58" s="365" t="s">
        <v>1394</v>
      </c>
    </row>
    <row r="59" spans="1:1">
      <c r="A59" s="50" t="s">
        <v>1360</v>
      </c>
    </row>
    <row r="60" spans="1:1">
      <c r="A60" s="1458" t="s">
        <v>485</v>
      </c>
    </row>
    <row r="61" spans="1:1">
      <c r="A61" s="63" t="s">
        <v>690</v>
      </c>
    </row>
    <row r="62" spans="1:1">
      <c r="A62" s="50" t="s">
        <v>352</v>
      </c>
    </row>
    <row r="63" spans="1:1">
      <c r="A63" s="50" t="s">
        <v>1250</v>
      </c>
    </row>
    <row r="64" spans="1:1">
      <c r="A64" s="51" t="s">
        <v>623</v>
      </c>
    </row>
    <row r="65" spans="1:1">
      <c r="A65" s="365" t="s">
        <v>1890</v>
      </c>
    </row>
    <row r="66" spans="1:1">
      <c r="A66" s="128" t="s">
        <v>1652</v>
      </c>
    </row>
    <row r="67" spans="1:1">
      <c r="A67" s="50" t="s">
        <v>871</v>
      </c>
    </row>
    <row r="68" spans="1:1">
      <c r="A68" s="50" t="s">
        <v>382</v>
      </c>
    </row>
    <row r="69" spans="1:1">
      <c r="A69" s="1458" t="s">
        <v>3537</v>
      </c>
    </row>
    <row r="70" spans="1:1">
      <c r="A70" s="501" t="s">
        <v>3790</v>
      </c>
    </row>
    <row r="71" spans="1:1">
      <c r="A71" s="50" t="s">
        <v>1110</v>
      </c>
    </row>
    <row r="72" spans="1:1">
      <c r="A72" s="365" t="s">
        <v>2916</v>
      </c>
    </row>
    <row r="73" spans="1:1">
      <c r="A73" s="50" t="s">
        <v>1234</v>
      </c>
    </row>
    <row r="74" spans="1:1">
      <c r="A74" s="128" t="s">
        <v>2259</v>
      </c>
    </row>
    <row r="75" spans="1:1">
      <c r="A75" s="50" t="s">
        <v>472</v>
      </c>
    </row>
    <row r="76" spans="1:1">
      <c r="A76" s="50" t="s">
        <v>532</v>
      </c>
    </row>
    <row r="77" spans="1:1">
      <c r="A77" s="128" t="s">
        <v>2270</v>
      </c>
    </row>
    <row r="78" spans="1:1">
      <c r="A78" s="992"/>
    </row>
    <row r="79" spans="1:1">
      <c r="A79" s="50"/>
    </row>
    <row r="80" spans="1:1">
      <c r="A80" s="365"/>
    </row>
    <row r="81" spans="1:1">
      <c r="A81" s="365"/>
    </row>
    <row r="82" spans="1:1">
      <c r="A82" s="365"/>
    </row>
    <row r="83" spans="1:1">
      <c r="A83" s="50"/>
    </row>
    <row r="84" spans="1:1">
      <c r="A84" s="50"/>
    </row>
    <row r="85" spans="1:1">
      <c r="A85" s="50"/>
    </row>
    <row r="86" spans="1:1">
      <c r="A86" s="363"/>
    </row>
    <row r="87" spans="1:1">
      <c r="A87" s="362"/>
    </row>
    <row r="88" spans="1:1">
      <c r="A88" s="362"/>
    </row>
    <row r="89" spans="1:1">
      <c r="A89" s="1748"/>
    </row>
    <row r="90" spans="1:1">
      <c r="A90" s="50"/>
    </row>
    <row r="91" spans="1:1">
      <c r="A91" s="50"/>
    </row>
    <row r="92" spans="1:1">
      <c r="A92" s="50"/>
    </row>
    <row r="93" spans="1:1">
      <c r="A93" s="63"/>
    </row>
    <row r="94" spans="1:1">
      <c r="A94" s="128"/>
    </row>
    <row r="95" spans="1:1">
      <c r="A95" s="49"/>
    </row>
    <row r="96" spans="1:1">
      <c r="A96" s="50"/>
    </row>
    <row r="97" spans="1:1">
      <c r="A97" s="63"/>
    </row>
    <row r="98" spans="1:1">
      <c r="A98" s="50"/>
    </row>
    <row r="99" spans="1:1">
      <c r="A99" s="50"/>
    </row>
    <row r="100" spans="1:1">
      <c r="A100" s="51"/>
    </row>
    <row r="101" spans="1:1">
      <c r="A101" s="51"/>
    </row>
    <row r="102" spans="1:1">
      <c r="A102" s="50"/>
    </row>
    <row r="103" spans="1:1">
      <c r="A103" s="63"/>
    </row>
    <row r="104" spans="1:1">
      <c r="A104" s="128"/>
    </row>
    <row r="105" spans="1:1">
      <c r="A105" s="63"/>
    </row>
    <row r="106" spans="1:1">
      <c r="A106" s="128"/>
    </row>
    <row r="107" spans="1:1">
      <c r="A107" s="50"/>
    </row>
    <row r="108" spans="1:1">
      <c r="A108" s="69"/>
    </row>
    <row r="109" spans="1:1">
      <c r="A109" s="107"/>
    </row>
    <row r="110" spans="1:1">
      <c r="A110" s="51"/>
    </row>
  </sheetData>
  <sortState xmlns:xlrd2="http://schemas.microsoft.com/office/spreadsheetml/2017/richdata2" ref="A2:A94">
    <sortCondition ref="A94"/>
  </sortState>
  <hyperlinks>
    <hyperlink ref="A68" r:id="rId1" xr:uid="{7556CBC3-C671-4DB9-B7F6-2F1C7626841A}"/>
    <hyperlink ref="A16" r:id="rId2" xr:uid="{9166E22B-648A-4AE6-B71B-C884AB4543B8}"/>
    <hyperlink ref="A13" r:id="rId3" xr:uid="{B1D37FCD-6AFC-4B85-865B-CA57EA486A73}"/>
    <hyperlink ref="A49" r:id="rId4" xr:uid="{E0D6E05E-700A-4FB6-B34F-DC6563C48805}"/>
    <hyperlink ref="A50" r:id="rId5" xr:uid="{5076EEA6-8E69-4D58-863E-C5C40027CFAF}"/>
    <hyperlink ref="A76" r:id="rId6" xr:uid="{19E45580-8DD5-4667-BC73-F9D47CDCF689}"/>
    <hyperlink ref="A4" r:id="rId7" xr:uid="{DF2C1E7E-1AE9-4930-B491-D40B75196345}"/>
    <hyperlink ref="A34" r:id="rId8" xr:uid="{ACC49FB3-B815-4CD1-AEAA-5F7A3E53DA50}"/>
    <hyperlink ref="A62" r:id="rId9" xr:uid="{7AF6B93F-A751-4144-80CB-159C34ACD7E1}"/>
    <hyperlink ref="A44" r:id="rId10" xr:uid="{B0EF160D-A8EF-4726-8D0B-07F4DB28E785}"/>
    <hyperlink ref="A38" r:id="rId11" xr:uid="{F395CC08-4566-4857-B24A-CA0F6B17FDD3}"/>
    <hyperlink ref="A54" r:id="rId12" xr:uid="{68519EBD-FE0B-4818-8894-C031C2F75B5D}"/>
    <hyperlink ref="A61" r:id="rId13" xr:uid="{5F2C213F-1DB3-40C1-950A-5D3E329E495D}"/>
    <hyperlink ref="A28" r:id="rId14" xr:uid="{97AA3DEE-0694-4FBB-8876-10F5DD35AE67}"/>
    <hyperlink ref="A12" r:id="rId15" xr:uid="{E510D1DC-E312-4927-907F-FC429C107A93}"/>
    <hyperlink ref="A53" r:id="rId16" xr:uid="{D8F15AD6-6B0B-4AD8-95CD-E0D275C21E41}"/>
    <hyperlink ref="A29" r:id="rId17" xr:uid="{E216C55F-B099-4FF7-BF9B-4DA7D2DE494C}"/>
    <hyperlink ref="A21" r:id="rId18" xr:uid="{30671AD3-8C66-4298-A786-A8ED094D5DC6}"/>
    <hyperlink ref="A51" r:id="rId19" xr:uid="{EE29D21F-C38B-48BA-8EEA-F5646A851E1B}"/>
    <hyperlink ref="A40" r:id="rId20" display="mailto:kiki.tipunch@wanadoo.fr" xr:uid="{BA0A836F-6D88-4B63-9FD4-15EEB18F2FF5}"/>
    <hyperlink ref="A22" r:id="rId21" xr:uid="{FEFBCAD4-9B30-46F3-98CA-00A409DA5F7B}"/>
    <hyperlink ref="A25" r:id="rId22" xr:uid="{815349F8-293E-4C13-9DF8-05B85B5451D5}"/>
    <hyperlink ref="A20" r:id="rId23" display="duchenenicola@yahoo.fr " xr:uid="{1CDB305E-E893-4DF8-AA8F-02F73D979022}"/>
    <hyperlink ref="A15" r:id="rId24" xr:uid="{2C964D15-E780-4CAA-A842-D56707C757CF}"/>
    <hyperlink ref="A67" r:id="rId25" xr:uid="{23AA2F3F-77EF-4248-AF8B-E3E548B8041A}"/>
    <hyperlink ref="A43" r:id="rId26" xr:uid="{18EEF172-7402-4DCA-8852-4E01C34ECA74}"/>
    <hyperlink ref="A31" r:id="rId27" xr:uid="{67B3A2E9-5BC3-489C-9185-3544FA3CCA0A}"/>
    <hyperlink ref="A14" r:id="rId28" xr:uid="{8457E007-EBCE-4EFB-B768-233FA240D0CD}"/>
    <hyperlink ref="A30" r:id="rId29" xr:uid="{8582FB0D-ADB4-49D1-92A7-7B7E16223208}"/>
    <hyperlink ref="A23" r:id="rId30" xr:uid="{19388951-B2DC-4437-B4DF-304C50FDD34D}"/>
    <hyperlink ref="A71" r:id="rId31" xr:uid="{EF1D3318-1D6F-4631-84C3-315C59D82BF5}"/>
    <hyperlink ref="A45" r:id="rId32" xr:uid="{261716B8-50BF-4D1C-9B33-20109CF020AF}"/>
    <hyperlink ref="A73" r:id="rId33" xr:uid="{397C74EA-A6E5-4880-974D-2B6DEB8EC72F}"/>
    <hyperlink ref="A63" r:id="rId34" xr:uid="{CBF709A9-A7BC-4E0A-9A7D-CF3E72FF02B6}"/>
    <hyperlink ref="A11" r:id="rId35" xr:uid="{35B7A26D-E96C-4470-9E67-F1DF36933754}"/>
    <hyperlink ref="A19" r:id="rId36" xr:uid="{A9BEE75E-4F71-48F5-B1F7-D4DDAC5B2AD4}"/>
    <hyperlink ref="A59" r:id="rId37" xr:uid="{973E8152-4E99-4E37-8657-4E86D1189FBE}"/>
    <hyperlink ref="A57" r:id="rId38" xr:uid="{27B6F603-B5B4-4D4F-8CA4-C324460E976C}"/>
    <hyperlink ref="A32" r:id="rId39" xr:uid="{22EDD6D5-2773-4A00-81DC-DBE750C338FD}"/>
    <hyperlink ref="A56" r:id="rId40" xr:uid="{5DD65FDC-F23D-4E67-8452-C17DDAF978E2}"/>
    <hyperlink ref="A33" r:id="rId41" xr:uid="{BE0FC825-B1CB-4323-A629-502AB9CBC632}"/>
    <hyperlink ref="A1" r:id="rId42" xr:uid="{45EE23CE-62FC-4DE0-BC85-BC4FF8FBF103}"/>
    <hyperlink ref="A9" r:id="rId43" xr:uid="{B5B4C988-D9D0-4315-AFFF-AFEE9E48DDD0}"/>
    <hyperlink ref="A52" r:id="rId44" xr:uid="{36B56CCB-AD3D-471F-BE81-6F6E166C76BA}"/>
    <hyperlink ref="A65" r:id="rId45" xr:uid="{B338DCE4-FD2D-468A-A84E-7768397AC1CE}"/>
    <hyperlink ref="A42" r:id="rId46" xr:uid="{5CE47A2E-DB49-4B47-9708-23AB86BF87B9}"/>
    <hyperlink ref="A58" r:id="rId47" xr:uid="{D5FE9E7C-DFD8-4CF7-BF89-6E7E105AF9FF}"/>
    <hyperlink ref="A74" r:id="rId48" xr:uid="{360E2CCF-0ADA-4426-A3F8-D2D24A635F80}"/>
    <hyperlink ref="A77" r:id="rId49" xr:uid="{610DB9E1-3978-4845-8E27-8F3CE778B2BE}"/>
    <hyperlink ref="A55" r:id="rId50" xr:uid="{A0C95F76-54CD-4BA1-B0EF-161B97769127}"/>
    <hyperlink ref="A39" r:id="rId51" xr:uid="{100466B0-40B5-4586-8019-9B99833D1336}"/>
    <hyperlink ref="A6" r:id="rId52" xr:uid="{AAD72771-2498-49AF-9EBC-5144BFD7ED7E}"/>
    <hyperlink ref="A18" r:id="rId53" xr:uid="{DBB2B238-5987-4A62-96BA-5F7884FA6F39}"/>
    <hyperlink ref="A66" r:id="rId54" xr:uid="{77470EA7-06EE-4E15-A3F9-4893717CC390}"/>
    <hyperlink ref="A24" r:id="rId55" xr:uid="{88B45357-9403-41B5-81AC-18F443A7DF27}"/>
    <hyperlink ref="A5" r:id="rId56" xr:uid="{D1C15AA6-0002-4E4C-9CD4-889DE5A7A2DA}"/>
    <hyperlink ref="A26" r:id="rId57" xr:uid="{B4520E48-12F0-444B-820D-279B7E686C71}"/>
    <hyperlink ref="A46" r:id="rId58" xr:uid="{0A3A5AB3-F2E3-467A-B7DE-03D727F999D9}"/>
    <hyperlink ref="A48" r:id="rId59" xr:uid="{5D2FDA58-50D8-4675-A703-FB42A2096754}"/>
    <hyperlink ref="A41" r:id="rId60" xr:uid="{1F8EE7CD-167F-42A2-952F-9262A7128307}"/>
    <hyperlink ref="A72" r:id="rId61" xr:uid="{62EF28C2-878C-41CC-A4A0-086DA159233B}"/>
    <hyperlink ref="A36" r:id="rId62" xr:uid="{2B63E6CE-329B-470E-8608-A2B1DAEB0D67}"/>
    <hyperlink ref="A17" r:id="rId63" xr:uid="{FAB7CCD6-6F2B-4C1B-B07F-A25E979B601B}"/>
    <hyperlink ref="A69" r:id="rId64" xr:uid="{54FBC460-1955-41A4-B03B-D40B7CF5D1E0}"/>
    <hyperlink ref="A60" r:id="rId65" xr:uid="{5ED94BEA-52D8-4BF2-B95A-D4E19948241B}"/>
    <hyperlink ref="A70" r:id="rId66" xr:uid="{74F3EEBB-CA1B-4933-BE05-FF949C82E326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89C4BA-53C9-4A2D-967D-000B107498E7}">
  <dimension ref="A1:A92"/>
  <sheetViews>
    <sheetView topLeftCell="A13" workbookViewId="0">
      <selection activeCell="A41" sqref="A36:A41"/>
    </sheetView>
  </sheetViews>
  <sheetFormatPr baseColWidth="10" defaultRowHeight="13.2"/>
  <sheetData>
    <row r="1" spans="1:1">
      <c r="A1" s="156" t="s">
        <v>282</v>
      </c>
    </row>
    <row r="2" spans="1:1">
      <c r="A2" s="156" t="s">
        <v>275</v>
      </c>
    </row>
    <row r="3" spans="1:1">
      <c r="A3" s="156" t="s">
        <v>302</v>
      </c>
    </row>
    <row r="4" spans="1:1">
      <c r="A4" s="147" t="s">
        <v>1203</v>
      </c>
    </row>
    <row r="5" spans="1:1">
      <c r="A5" s="580" t="s">
        <v>492</v>
      </c>
    </row>
    <row r="6" spans="1:1">
      <c r="A6" s="299" t="s">
        <v>1532</v>
      </c>
    </row>
    <row r="7" spans="1:1">
      <c r="A7" s="294" t="s">
        <v>1684</v>
      </c>
    </row>
    <row r="8" spans="1:1">
      <c r="A8" s="147" t="s">
        <v>1292</v>
      </c>
    </row>
    <row r="9" spans="1:1">
      <c r="A9" s="147" t="s">
        <v>731</v>
      </c>
    </row>
    <row r="10" spans="1:1">
      <c r="A10" s="147" t="s">
        <v>434</v>
      </c>
    </row>
    <row r="11" spans="1:1">
      <c r="A11" s="228" t="s">
        <v>1078</v>
      </c>
    </row>
    <row r="12" spans="1:1">
      <c r="A12" s="228" t="s">
        <v>1004</v>
      </c>
    </row>
    <row r="13" spans="1:1">
      <c r="A13" s="151" t="s">
        <v>402</v>
      </c>
    </row>
    <row r="14" spans="1:1">
      <c r="A14" s="156" t="s">
        <v>267</v>
      </c>
    </row>
    <row r="15" spans="1:1">
      <c r="A15" s="253" t="s">
        <v>1342</v>
      </c>
    </row>
    <row r="16" spans="1:1">
      <c r="A16" s="147" t="s">
        <v>928</v>
      </c>
    </row>
    <row r="17" spans="1:1">
      <c r="A17" s="253" t="s">
        <v>1402</v>
      </c>
    </row>
    <row r="18" spans="1:1">
      <c r="A18" s="253" t="s">
        <v>1541</v>
      </c>
    </row>
    <row r="19" spans="1:1">
      <c r="A19" s="222" t="s">
        <v>704</v>
      </c>
    </row>
    <row r="20" spans="1:1">
      <c r="A20" s="222" t="s">
        <v>754</v>
      </c>
    </row>
    <row r="21" spans="1:1">
      <c r="A21" s="147" t="s">
        <v>1042</v>
      </c>
    </row>
    <row r="22" spans="1:1">
      <c r="A22" s="253" t="s">
        <v>1409</v>
      </c>
    </row>
    <row r="23" spans="1:1">
      <c r="A23" s="285" t="s">
        <v>1488</v>
      </c>
    </row>
    <row r="24" spans="1:1">
      <c r="A24" s="147" t="s">
        <v>593</v>
      </c>
    </row>
    <row r="25" spans="1:1">
      <c r="A25" s="147" t="s">
        <v>174</v>
      </c>
    </row>
    <row r="26" spans="1:1">
      <c r="A26" s="147" t="s">
        <v>967</v>
      </c>
    </row>
    <row r="27" spans="1:1">
      <c r="A27" s="294" t="s">
        <v>1572</v>
      </c>
    </row>
    <row r="28" spans="1:1">
      <c r="A28" s="156" t="s">
        <v>261</v>
      </c>
    </row>
    <row r="29" spans="1:1">
      <c r="A29" s="156" t="s">
        <v>278</v>
      </c>
    </row>
    <row r="30" spans="1:1">
      <c r="A30" s="147" t="s">
        <v>525</v>
      </c>
    </row>
    <row r="31" spans="1:1">
      <c r="A31" s="147" t="s">
        <v>784</v>
      </c>
    </row>
    <row r="32" spans="1:1">
      <c r="A32" s="294" t="s">
        <v>1727</v>
      </c>
    </row>
    <row r="33" spans="1:1">
      <c r="A33" s="222" t="s">
        <v>743</v>
      </c>
    </row>
    <row r="34" spans="1:1">
      <c r="A34" s="253" t="s">
        <v>1394</v>
      </c>
    </row>
    <row r="35" spans="1:1">
      <c r="A35" s="147" t="s">
        <v>485</v>
      </c>
    </row>
    <row r="36" spans="1:1">
      <c r="A36" s="222" t="s">
        <v>690</v>
      </c>
    </row>
    <row r="37" spans="1:1">
      <c r="A37" s="147" t="s">
        <v>1250</v>
      </c>
    </row>
    <row r="38" spans="1:1">
      <c r="A38" s="147" t="s">
        <v>871</v>
      </c>
    </row>
    <row r="39" spans="1:1">
      <c r="A39" s="147" t="s">
        <v>1110</v>
      </c>
    </row>
    <row r="40" spans="1:1">
      <c r="A40" s="328" t="s">
        <v>1629</v>
      </c>
    </row>
    <row r="41" spans="1:1">
      <c r="A41" s="147" t="s">
        <v>472</v>
      </c>
    </row>
    <row r="42" spans="1:1">
      <c r="A42" s="147"/>
    </row>
    <row r="43" spans="1:1">
      <c r="A43" s="324"/>
    </row>
    <row r="44" spans="1:1">
      <c r="A44" s="365"/>
    </row>
    <row r="45" spans="1:1">
      <c r="A45" s="365"/>
    </row>
    <row r="46" spans="1:1">
      <c r="A46" s="365"/>
    </row>
    <row r="47" spans="1:1">
      <c r="A47" s="375"/>
    </row>
    <row r="48" spans="1:1">
      <c r="A48" s="147"/>
    </row>
    <row r="49" spans="1:1">
      <c r="A49" s="147"/>
    </row>
    <row r="50" spans="1:1">
      <c r="A50" s="147"/>
    </row>
    <row r="51" spans="1:1">
      <c r="A51" s="151"/>
    </row>
    <row r="52" spans="1:1">
      <c r="A52" s="151"/>
    </row>
    <row r="53" spans="1:1">
      <c r="A53" s="222"/>
    </row>
    <row r="54" spans="1:1">
      <c r="A54" s="156"/>
    </row>
    <row r="55" spans="1:1">
      <c r="A55" s="156"/>
    </row>
    <row r="56" spans="1:1">
      <c r="A56" s="156"/>
    </row>
    <row r="57" spans="1:1">
      <c r="A57" s="156"/>
    </row>
    <row r="58" spans="1:1">
      <c r="A58" s="156"/>
    </row>
    <row r="59" spans="1:1">
      <c r="A59" s="156"/>
    </row>
    <row r="60" spans="1:1">
      <c r="A60" s="156"/>
    </row>
    <row r="61" spans="1:1">
      <c r="A61" s="267"/>
    </row>
    <row r="62" spans="1:1">
      <c r="A62" s="267"/>
    </row>
    <row r="63" spans="1:1">
      <c r="A63" s="156"/>
    </row>
    <row r="64" spans="1:1">
      <c r="A64" s="156"/>
    </row>
    <row r="65" spans="1:1">
      <c r="A65" s="156"/>
    </row>
    <row r="66" spans="1:1">
      <c r="A66" s="156"/>
    </row>
    <row r="67" spans="1:1">
      <c r="A67" s="161"/>
    </row>
    <row r="68" spans="1:1">
      <c r="A68" s="156"/>
    </row>
    <row r="69" spans="1:1">
      <c r="A69" s="156"/>
    </row>
    <row r="70" spans="1:1">
      <c r="A70" s="156"/>
    </row>
    <row r="71" spans="1:1">
      <c r="A71" s="156"/>
    </row>
    <row r="72" spans="1:1">
      <c r="A72" s="156"/>
    </row>
    <row r="73" spans="1:1">
      <c r="A73" s="156"/>
    </row>
    <row r="74" spans="1:1">
      <c r="A74" s="156"/>
    </row>
    <row r="75" spans="1:1">
      <c r="A75" s="156"/>
    </row>
    <row r="76" spans="1:1">
      <c r="A76" s="156"/>
    </row>
    <row r="77" spans="1:1">
      <c r="A77" s="156"/>
    </row>
    <row r="78" spans="1:1">
      <c r="A78" s="156"/>
    </row>
    <row r="79" spans="1:1">
      <c r="A79" s="156"/>
    </row>
    <row r="80" spans="1:1">
      <c r="A80" s="156"/>
    </row>
    <row r="81" spans="1:1">
      <c r="A81" s="267"/>
    </row>
    <row r="82" spans="1:1">
      <c r="A82" s="267"/>
    </row>
    <row r="83" spans="1:1">
      <c r="A83" s="156"/>
    </row>
    <row r="84" spans="1:1">
      <c r="A84" s="156"/>
    </row>
    <row r="85" spans="1:1">
      <c r="A85" s="156"/>
    </row>
    <row r="86" spans="1:1">
      <c r="A86" s="156"/>
    </row>
    <row r="87" spans="1:1">
      <c r="A87" s="156"/>
    </row>
    <row r="88" spans="1:1">
      <c r="A88" s="136"/>
    </row>
    <row r="89" spans="1:1">
      <c r="A89" s="136"/>
    </row>
    <row r="90" spans="1:1">
      <c r="A90" s="156"/>
    </row>
    <row r="91" spans="1:1">
      <c r="A91" s="156"/>
    </row>
    <row r="92" spans="1:1">
      <c r="A92" s="156"/>
    </row>
  </sheetData>
  <sortState xmlns:xlrd2="http://schemas.microsoft.com/office/spreadsheetml/2017/richdata2" ref="A1:A93">
    <sortCondition ref="A1"/>
  </sortState>
  <hyperlinks>
    <hyperlink ref="A13" r:id="rId1" xr:uid="{B2F40EFF-4FB2-4743-96D5-C96981B96906}"/>
    <hyperlink ref="A10" r:id="rId2" xr:uid="{F0CC167B-6B13-4873-AA08-C2995579D5C1}"/>
    <hyperlink ref="A35" r:id="rId3" xr:uid="{96C64968-4DBC-491B-AE37-5EF6404A94AB}"/>
    <hyperlink ref="A30" r:id="rId4" xr:uid="{64B436B1-3485-4880-963F-1BD3B2B9CB63}"/>
    <hyperlink ref="A36" r:id="rId5" xr:uid="{E96D7E8A-DE20-4381-83E6-0E253B5983F6}"/>
    <hyperlink ref="A19" r:id="rId6" xr:uid="{7C4A05F7-CBD1-468C-8B84-1633AC0266DF}"/>
    <hyperlink ref="A9" r:id="rId7" xr:uid="{F38D6A84-154D-4BE5-88F4-BF7BDF92C9D6}"/>
    <hyperlink ref="A33" r:id="rId8" xr:uid="{460026A0-E166-4AA4-9140-42999C9A5117}"/>
    <hyperlink ref="A20" r:id="rId9" xr:uid="{640D76A1-C3F8-4BA6-BC58-A569D432656A}"/>
    <hyperlink ref="A31" r:id="rId10" xr:uid="{D1874CAB-BCC1-4F66-AE29-77065758A032}"/>
    <hyperlink ref="A25" r:id="rId11" display="mailto:kiki.tipunch@wanadoo.fr" xr:uid="{C7F71983-0D7E-4A4A-B436-5E4E4B182F8D}"/>
    <hyperlink ref="A16" r:id="rId12" display="duchenenicola@yahoo.fr " xr:uid="{6A2BCC89-D232-45C2-AE9F-77E3283FCACF}"/>
    <hyperlink ref="A38" r:id="rId13" xr:uid="{27611BAA-06FD-41C7-A798-5B517A17E916}"/>
    <hyperlink ref="A26" r:id="rId14" xr:uid="{DB4B8F04-17D0-432B-8951-20D64087C5E3}"/>
    <hyperlink ref="A12" r:id="rId15" xr:uid="{E771CC03-4B68-49FF-987C-6379B27DF312}"/>
    <hyperlink ref="A21" r:id="rId16" xr:uid="{C304C3FE-A96E-418F-A3D8-43BE8E782CC9}"/>
    <hyperlink ref="A11" r:id="rId17" xr:uid="{A6A72226-5EC5-46F8-A53C-A9528D57427F}"/>
    <hyperlink ref="A39" r:id="rId18" xr:uid="{F04010A2-9D56-4166-BBCB-54812005FD17}"/>
    <hyperlink ref="A88" r:id="rId19" display="erwanhubert@free.fr" xr:uid="{5723C5E9-CBFD-4BB6-821E-71C913F9ED32}"/>
    <hyperlink ref="A37" r:id="rId20" xr:uid="{1751D53C-490B-4B08-9822-6CEA745B707D}"/>
    <hyperlink ref="A8" r:id="rId21" xr:uid="{9F3A279D-C4A7-4466-8345-A56C68EA59F6}"/>
    <hyperlink ref="A15" r:id="rId22" xr:uid="{1219B082-FA27-41B8-9C82-540A3416D510}"/>
    <hyperlink ref="A34" r:id="rId23" xr:uid="{C8C40F3C-1168-445B-8B1D-837D9D389D0C}"/>
    <hyperlink ref="A17" r:id="rId24" xr:uid="{847B39CC-5E4C-4298-AF11-79F8C7EC8B68}"/>
    <hyperlink ref="A22" r:id="rId25" xr:uid="{A8D56577-69E2-45DF-A219-B033FE946928}"/>
    <hyperlink ref="A23" r:id="rId26" xr:uid="{5D1B4ED0-97B6-4EA6-BE74-BD00E2ED4429}"/>
    <hyperlink ref="A6" r:id="rId27" xr:uid="{79839093-7672-47CC-A0CD-AA4045A0F28D}"/>
    <hyperlink ref="A27" r:id="rId28" xr:uid="{B3445AFB-7064-4A1D-B7F8-25870DF202F1}"/>
    <hyperlink ref="A3" r:id="rId29" xr:uid="{69244993-8379-4C0A-B391-E15D936B3364}"/>
    <hyperlink ref="A40" r:id="rId30" xr:uid="{F1788470-637F-4B45-9DA9-7AEE2E3E6F1C}"/>
    <hyperlink ref="A7" r:id="rId31" xr:uid="{2E84CC89-1B71-4679-AADD-263CBA48A565}"/>
    <hyperlink ref="A32" r:id="rId32" xr:uid="{0C3C3B17-20D7-4578-976D-0C9B49742E2F}"/>
    <hyperlink ref="A28" r:id="rId33" xr:uid="{53B04DD5-23DB-432E-BD36-CFFCAC9918B5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U135"/>
  <sheetViews>
    <sheetView workbookViewId="0">
      <selection activeCell="C2" sqref="C2"/>
    </sheetView>
  </sheetViews>
  <sheetFormatPr baseColWidth="10" defaultRowHeight="13.2"/>
  <cols>
    <col min="1" max="1" width="11.77734375" bestFit="1" customWidth="1"/>
    <col min="2" max="2" width="18.21875" bestFit="1" customWidth="1"/>
    <col min="3" max="4" width="15.44140625" style="379" bestFit="1" customWidth="1"/>
    <col min="5" max="5" width="6.5546875" style="379" customWidth="1"/>
    <col min="6" max="6" width="14.21875" style="379" customWidth="1"/>
    <col min="7" max="9" width="11.5546875" style="379"/>
  </cols>
  <sheetData>
    <row r="1" spans="1:21">
      <c r="A1" s="3" t="s">
        <v>0</v>
      </c>
      <c r="B1" s="3" t="s">
        <v>1</v>
      </c>
      <c r="C1" s="380" t="s">
        <v>12</v>
      </c>
      <c r="D1" s="380" t="s">
        <v>13</v>
      </c>
      <c r="E1" s="380" t="s">
        <v>2</v>
      </c>
      <c r="F1" s="380" t="s">
        <v>3</v>
      </c>
      <c r="G1" s="380" t="s">
        <v>4</v>
      </c>
      <c r="H1" s="380" t="s">
        <v>16</v>
      </c>
      <c r="I1" s="380" t="s">
        <v>5</v>
      </c>
      <c r="J1" s="3" t="s">
        <v>6</v>
      </c>
      <c r="K1" s="3" t="s">
        <v>7</v>
      </c>
      <c r="L1" s="3" t="s">
        <v>21</v>
      </c>
      <c r="M1" s="3" t="s">
        <v>8</v>
      </c>
      <c r="N1" s="3" t="s">
        <v>9</v>
      </c>
      <c r="O1" s="3" t="s">
        <v>14</v>
      </c>
      <c r="P1" s="3" t="s">
        <v>38</v>
      </c>
      <c r="Q1" t="s">
        <v>67</v>
      </c>
      <c r="R1" t="s">
        <v>68</v>
      </c>
      <c r="S1" s="3" t="s">
        <v>104</v>
      </c>
      <c r="T1" s="3" t="s">
        <v>105</v>
      </c>
      <c r="U1" s="3" t="s">
        <v>231</v>
      </c>
    </row>
    <row r="2" spans="1:21">
      <c r="A2" t="s">
        <v>69</v>
      </c>
      <c r="B2" t="s">
        <v>70</v>
      </c>
      <c r="C2" s="379">
        <v>37729</v>
      </c>
      <c r="D2" s="379">
        <v>37736</v>
      </c>
      <c r="E2" s="379" t="s">
        <v>71</v>
      </c>
      <c r="G2" s="379">
        <v>54518</v>
      </c>
      <c r="H2" s="379" t="s">
        <v>72</v>
      </c>
      <c r="I2" s="379" t="s">
        <v>18</v>
      </c>
      <c r="J2" t="s">
        <v>19</v>
      </c>
      <c r="K2" t="s">
        <v>73</v>
      </c>
      <c r="M2" t="s">
        <v>74</v>
      </c>
      <c r="N2" s="2" t="s">
        <v>78</v>
      </c>
      <c r="O2" s="5">
        <v>490</v>
      </c>
      <c r="Q2" t="s">
        <v>59</v>
      </c>
      <c r="R2">
        <v>1</v>
      </c>
    </row>
    <row r="3" spans="1:21">
      <c r="A3" t="s">
        <v>62</v>
      </c>
      <c r="B3" t="s">
        <v>63</v>
      </c>
      <c r="C3" s="379">
        <v>37741</v>
      </c>
      <c r="D3" s="379">
        <v>37747</v>
      </c>
      <c r="E3" s="379" t="s">
        <v>64</v>
      </c>
      <c r="G3" s="379">
        <v>94360</v>
      </c>
      <c r="H3" s="379" t="s">
        <v>65</v>
      </c>
      <c r="I3" s="379" t="s">
        <v>23</v>
      </c>
      <c r="J3" t="s">
        <v>19</v>
      </c>
      <c r="K3" t="s">
        <v>66</v>
      </c>
      <c r="N3" s="2" t="s">
        <v>79</v>
      </c>
      <c r="O3" s="5">
        <v>458</v>
      </c>
      <c r="R3">
        <v>1</v>
      </c>
    </row>
    <row r="4" spans="1:21">
      <c r="A4" t="s">
        <v>60</v>
      </c>
      <c r="B4" t="s">
        <v>61</v>
      </c>
      <c r="C4" s="379">
        <v>37763</v>
      </c>
      <c r="D4" s="379">
        <v>37772</v>
      </c>
      <c r="G4" s="379">
        <v>3801</v>
      </c>
      <c r="H4" s="379" t="s">
        <v>53</v>
      </c>
      <c r="I4" s="379" t="s">
        <v>54</v>
      </c>
      <c r="J4" t="s">
        <v>19</v>
      </c>
      <c r="K4" t="s">
        <v>55</v>
      </c>
      <c r="L4" t="s">
        <v>57</v>
      </c>
      <c r="M4" t="s">
        <v>56</v>
      </c>
      <c r="N4" s="2" t="s">
        <v>58</v>
      </c>
      <c r="O4" s="5">
        <v>458</v>
      </c>
      <c r="Q4" t="s">
        <v>59</v>
      </c>
      <c r="R4">
        <v>1</v>
      </c>
    </row>
    <row r="5" spans="1:21">
      <c r="A5" t="s">
        <v>77</v>
      </c>
      <c r="B5" t="s">
        <v>48</v>
      </c>
      <c r="C5" s="379">
        <v>37772</v>
      </c>
      <c r="D5" s="379">
        <v>37786</v>
      </c>
      <c r="E5" s="379" t="s">
        <v>49</v>
      </c>
      <c r="G5" s="379">
        <v>63697</v>
      </c>
      <c r="H5" s="379" t="s">
        <v>50</v>
      </c>
      <c r="I5" s="379" t="s">
        <v>18</v>
      </c>
      <c r="J5" t="s">
        <v>51</v>
      </c>
      <c r="N5" s="2" t="s">
        <v>76</v>
      </c>
      <c r="O5" s="5">
        <v>490</v>
      </c>
      <c r="Q5" t="s">
        <v>52</v>
      </c>
      <c r="R5">
        <v>1</v>
      </c>
    </row>
    <row r="6" spans="1:21">
      <c r="A6" t="s">
        <v>40</v>
      </c>
      <c r="B6" t="s">
        <v>41</v>
      </c>
      <c r="C6" s="379">
        <v>37786</v>
      </c>
      <c r="D6" s="379">
        <v>37800</v>
      </c>
      <c r="E6" s="379" t="s">
        <v>42</v>
      </c>
      <c r="G6" s="379">
        <v>9500</v>
      </c>
      <c r="H6" s="379" t="s">
        <v>43</v>
      </c>
      <c r="I6" s="379" t="s">
        <v>36</v>
      </c>
      <c r="J6" t="s">
        <v>19</v>
      </c>
      <c r="K6" t="s">
        <v>47</v>
      </c>
      <c r="N6" s="2" t="s">
        <v>44</v>
      </c>
      <c r="O6" s="5">
        <v>980</v>
      </c>
      <c r="Q6" t="s">
        <v>45</v>
      </c>
      <c r="R6">
        <v>2</v>
      </c>
    </row>
    <row r="7" spans="1:21">
      <c r="A7" t="s">
        <v>31</v>
      </c>
      <c r="B7" t="s">
        <v>32</v>
      </c>
      <c r="C7" s="379">
        <v>37807</v>
      </c>
      <c r="D7" s="379">
        <v>37821</v>
      </c>
      <c r="E7" s="379" t="s">
        <v>33</v>
      </c>
      <c r="G7" s="379" t="s">
        <v>34</v>
      </c>
      <c r="H7" s="379" t="s">
        <v>35</v>
      </c>
      <c r="I7" s="379" t="s">
        <v>36</v>
      </c>
      <c r="J7" t="s">
        <v>19</v>
      </c>
      <c r="K7" t="s">
        <v>37</v>
      </c>
      <c r="N7" s="2" t="s">
        <v>147</v>
      </c>
      <c r="O7" s="5">
        <v>1372</v>
      </c>
      <c r="P7" t="s">
        <v>39</v>
      </c>
      <c r="Q7" t="s">
        <v>46</v>
      </c>
      <c r="R7">
        <v>2</v>
      </c>
    </row>
    <row r="8" spans="1:21">
      <c r="A8" t="s">
        <v>25</v>
      </c>
      <c r="B8" t="s">
        <v>26</v>
      </c>
      <c r="C8" s="379">
        <v>37821</v>
      </c>
      <c r="D8" s="379">
        <v>37835</v>
      </c>
      <c r="E8" s="379" t="s">
        <v>27</v>
      </c>
      <c r="G8" s="379">
        <v>67549</v>
      </c>
      <c r="H8" s="379" t="s">
        <v>28</v>
      </c>
      <c r="I8" s="379" t="s">
        <v>18</v>
      </c>
      <c r="J8" t="s">
        <v>19</v>
      </c>
      <c r="K8" t="s">
        <v>29</v>
      </c>
      <c r="L8" t="s">
        <v>30</v>
      </c>
      <c r="N8" s="2" t="s">
        <v>75</v>
      </c>
      <c r="O8" s="5">
        <v>1372</v>
      </c>
      <c r="R8">
        <v>2</v>
      </c>
    </row>
    <row r="9" spans="1:21">
      <c r="A9" t="s">
        <v>10</v>
      </c>
      <c r="B9" t="s">
        <v>11</v>
      </c>
      <c r="C9" s="379">
        <v>37863</v>
      </c>
      <c r="D9" s="379">
        <v>37877</v>
      </c>
      <c r="E9" s="379" t="s">
        <v>15</v>
      </c>
      <c r="G9" s="379">
        <v>32758</v>
      </c>
      <c r="H9" s="379" t="s">
        <v>17</v>
      </c>
      <c r="I9" s="379" t="s">
        <v>18</v>
      </c>
      <c r="J9" t="s">
        <v>19</v>
      </c>
      <c r="K9" t="s">
        <v>20</v>
      </c>
      <c r="N9" s="2" t="s">
        <v>22</v>
      </c>
      <c r="O9" s="5">
        <v>980</v>
      </c>
      <c r="R9">
        <v>2</v>
      </c>
    </row>
    <row r="10" spans="1:21">
      <c r="A10" t="s">
        <v>134</v>
      </c>
      <c r="B10" t="s">
        <v>133</v>
      </c>
      <c r="C10" s="379">
        <v>37912</v>
      </c>
      <c r="D10" s="379">
        <v>37926</v>
      </c>
      <c r="E10" s="379" t="s">
        <v>135</v>
      </c>
      <c r="F10" s="379" t="s">
        <v>136</v>
      </c>
      <c r="H10" s="379" t="s">
        <v>137</v>
      </c>
      <c r="I10" s="379" t="s">
        <v>18</v>
      </c>
      <c r="J10" t="s">
        <v>51</v>
      </c>
      <c r="K10" t="s">
        <v>81</v>
      </c>
      <c r="N10" s="2" t="s">
        <v>80</v>
      </c>
      <c r="O10" s="5">
        <v>920</v>
      </c>
      <c r="R10">
        <v>2</v>
      </c>
    </row>
    <row r="11" spans="1:21">
      <c r="A11" t="s">
        <v>97</v>
      </c>
      <c r="B11" s="4" t="s">
        <v>106</v>
      </c>
      <c r="C11" s="379">
        <v>38024</v>
      </c>
      <c r="D11" s="379">
        <v>38031</v>
      </c>
      <c r="E11" s="379" t="s">
        <v>108</v>
      </c>
      <c r="G11" s="379">
        <v>57050</v>
      </c>
      <c r="H11" s="379" t="s">
        <v>109</v>
      </c>
      <c r="I11" s="379" t="s">
        <v>23</v>
      </c>
      <c r="J11" t="s">
        <v>19</v>
      </c>
      <c r="K11" t="s">
        <v>107</v>
      </c>
      <c r="L11" t="s">
        <v>110</v>
      </c>
      <c r="N11" s="2" t="s">
        <v>111</v>
      </c>
      <c r="O11" s="6">
        <v>460</v>
      </c>
      <c r="R11">
        <v>1</v>
      </c>
      <c r="S11">
        <v>4</v>
      </c>
      <c r="T11">
        <v>1</v>
      </c>
    </row>
    <row r="12" spans="1:21">
      <c r="A12" s="4" t="s">
        <v>203</v>
      </c>
      <c r="B12" s="4" t="s">
        <v>202</v>
      </c>
      <c r="C12" s="418">
        <v>38045</v>
      </c>
      <c r="D12" s="379">
        <v>38052</v>
      </c>
      <c r="E12" s="379" t="s">
        <v>204</v>
      </c>
      <c r="G12" s="379">
        <v>76440</v>
      </c>
      <c r="H12" s="379" t="s">
        <v>205</v>
      </c>
      <c r="I12" s="379" t="s">
        <v>23</v>
      </c>
      <c r="J12" t="s">
        <v>19</v>
      </c>
      <c r="K12" t="s">
        <v>206</v>
      </c>
      <c r="N12" s="2" t="s">
        <v>207</v>
      </c>
      <c r="O12" s="6">
        <v>460</v>
      </c>
      <c r="R12">
        <v>1</v>
      </c>
      <c r="S12">
        <v>3</v>
      </c>
      <c r="T12">
        <v>2</v>
      </c>
    </row>
    <row r="13" spans="1:21" s="4" customFormat="1">
      <c r="A13" s="4" t="s">
        <v>87</v>
      </c>
      <c r="B13" s="4" t="s">
        <v>86</v>
      </c>
      <c r="C13" s="418">
        <v>38080</v>
      </c>
      <c r="D13" s="418">
        <v>38087</v>
      </c>
      <c r="E13" s="418" t="s">
        <v>83</v>
      </c>
      <c r="F13" s="418"/>
      <c r="G13" s="418" t="s">
        <v>84</v>
      </c>
      <c r="H13" s="418" t="s">
        <v>85</v>
      </c>
      <c r="I13" s="418" t="s">
        <v>36</v>
      </c>
      <c r="J13" s="4" t="s">
        <v>19</v>
      </c>
      <c r="K13" s="4" t="s">
        <v>112</v>
      </c>
      <c r="N13" s="2" t="s">
        <v>82</v>
      </c>
      <c r="O13" s="6">
        <v>460</v>
      </c>
      <c r="R13" s="4">
        <v>1</v>
      </c>
    </row>
    <row r="14" spans="1:21">
      <c r="A14" s="4" t="s">
        <v>88</v>
      </c>
      <c r="B14" s="4" t="s">
        <v>90</v>
      </c>
      <c r="C14" s="379">
        <v>38087</v>
      </c>
      <c r="D14" s="379">
        <v>38094</v>
      </c>
      <c r="E14" s="379" t="s">
        <v>89</v>
      </c>
      <c r="G14" s="379">
        <v>92140</v>
      </c>
      <c r="H14" s="379" t="s">
        <v>91</v>
      </c>
      <c r="I14" s="379" t="s">
        <v>23</v>
      </c>
      <c r="J14" t="s">
        <v>19</v>
      </c>
      <c r="K14" t="s">
        <v>113</v>
      </c>
      <c r="L14" t="s">
        <v>143</v>
      </c>
      <c r="N14" s="2" t="s">
        <v>92</v>
      </c>
      <c r="O14" s="6">
        <v>490</v>
      </c>
      <c r="R14">
        <v>1</v>
      </c>
      <c r="S14" s="1" t="s">
        <v>114</v>
      </c>
    </row>
    <row r="15" spans="1:21">
      <c r="A15" s="4" t="s">
        <v>116</v>
      </c>
      <c r="B15" s="4" t="s">
        <v>117</v>
      </c>
      <c r="C15" s="379">
        <v>38101</v>
      </c>
      <c r="D15" s="379">
        <v>38108</v>
      </c>
      <c r="E15" s="379" t="s">
        <v>118</v>
      </c>
      <c r="F15" s="379" t="s">
        <v>119</v>
      </c>
      <c r="G15" s="379">
        <v>59650</v>
      </c>
      <c r="H15" s="379" t="s">
        <v>120</v>
      </c>
      <c r="I15" s="379" t="s">
        <v>23</v>
      </c>
      <c r="J15" t="s">
        <v>19</v>
      </c>
      <c r="K15" t="s">
        <v>121</v>
      </c>
      <c r="L15" t="s">
        <v>122</v>
      </c>
      <c r="N15" s="2" t="s">
        <v>124</v>
      </c>
      <c r="O15" s="6">
        <v>460</v>
      </c>
      <c r="R15">
        <v>1</v>
      </c>
      <c r="S15" t="s">
        <v>123</v>
      </c>
    </row>
    <row r="16" spans="1:21">
      <c r="A16" t="s">
        <v>31</v>
      </c>
      <c r="B16" t="s">
        <v>32</v>
      </c>
      <c r="C16" s="379">
        <v>38129</v>
      </c>
      <c r="D16" s="379">
        <v>38143</v>
      </c>
      <c r="E16" s="379" t="s">
        <v>33</v>
      </c>
      <c r="G16" s="379" t="s">
        <v>34</v>
      </c>
      <c r="H16" s="379" t="s">
        <v>35</v>
      </c>
      <c r="I16" s="379" t="s">
        <v>36</v>
      </c>
      <c r="J16" t="s">
        <v>19</v>
      </c>
      <c r="K16" t="s">
        <v>37</v>
      </c>
      <c r="N16" s="2" t="s">
        <v>147</v>
      </c>
      <c r="O16" s="6">
        <f>460+490</f>
        <v>950</v>
      </c>
      <c r="P16" t="s">
        <v>39</v>
      </c>
      <c r="R16">
        <v>2</v>
      </c>
    </row>
    <row r="17" spans="1:21">
      <c r="A17" t="s">
        <v>158</v>
      </c>
      <c r="B17" t="s">
        <v>157</v>
      </c>
      <c r="C17" s="379">
        <v>38143</v>
      </c>
      <c r="D17" s="379">
        <v>38150</v>
      </c>
      <c r="E17" s="379" t="s">
        <v>159</v>
      </c>
      <c r="G17" s="379" t="s">
        <v>160</v>
      </c>
      <c r="H17" s="379" t="s">
        <v>161</v>
      </c>
      <c r="I17" s="379" t="s">
        <v>18</v>
      </c>
      <c r="J17" t="s">
        <v>19</v>
      </c>
      <c r="K17" t="s">
        <v>162</v>
      </c>
      <c r="N17" s="2" t="s">
        <v>163</v>
      </c>
      <c r="O17" s="6">
        <v>490</v>
      </c>
      <c r="Q17" t="s">
        <v>115</v>
      </c>
      <c r="R17">
        <v>1</v>
      </c>
      <c r="S17" t="s">
        <v>164</v>
      </c>
    </row>
    <row r="18" spans="1:21">
      <c r="A18" t="s">
        <v>169</v>
      </c>
      <c r="B18" t="s">
        <v>170</v>
      </c>
      <c r="C18" s="379">
        <v>38150</v>
      </c>
      <c r="D18" s="379">
        <v>38157</v>
      </c>
      <c r="G18" s="379" t="s">
        <v>171</v>
      </c>
      <c r="H18" s="379" t="s">
        <v>172</v>
      </c>
      <c r="I18" s="379" t="s">
        <v>168</v>
      </c>
      <c r="J18" t="s">
        <v>19</v>
      </c>
      <c r="N18" s="2" t="s">
        <v>173</v>
      </c>
      <c r="O18" s="6">
        <v>490</v>
      </c>
      <c r="R18">
        <v>1</v>
      </c>
      <c r="S18">
        <v>2</v>
      </c>
      <c r="T18">
        <v>1</v>
      </c>
    </row>
    <row r="19" spans="1:21">
      <c r="A19" t="s">
        <v>152</v>
      </c>
      <c r="B19" t="s">
        <v>153</v>
      </c>
      <c r="C19" s="379">
        <v>38157</v>
      </c>
      <c r="D19" s="379">
        <v>38171</v>
      </c>
      <c r="E19" s="379" t="s">
        <v>165</v>
      </c>
      <c r="G19" s="379">
        <v>9500</v>
      </c>
      <c r="H19" s="379" t="s">
        <v>166</v>
      </c>
      <c r="I19" s="379" t="s">
        <v>154</v>
      </c>
      <c r="J19" t="s">
        <v>19</v>
      </c>
      <c r="K19" t="s">
        <v>167</v>
      </c>
      <c r="N19" s="2" t="s">
        <v>155</v>
      </c>
      <c r="O19" s="6">
        <v>1220</v>
      </c>
      <c r="Q19" t="s">
        <v>115</v>
      </c>
      <c r="R19">
        <v>2</v>
      </c>
      <c r="S19" t="s">
        <v>156</v>
      </c>
    </row>
    <row r="20" spans="1:21">
      <c r="A20" s="4" t="s">
        <v>242</v>
      </c>
      <c r="B20" s="4" t="s">
        <v>95</v>
      </c>
      <c r="C20" s="379">
        <v>38171</v>
      </c>
      <c r="D20" s="379">
        <v>38199</v>
      </c>
      <c r="E20" s="379" t="s">
        <v>93</v>
      </c>
      <c r="G20" s="379">
        <v>94380</v>
      </c>
      <c r="H20" s="379" t="s">
        <v>94</v>
      </c>
      <c r="J20" t="s">
        <v>19</v>
      </c>
      <c r="L20" t="s">
        <v>96</v>
      </c>
      <c r="N20" s="2" t="s">
        <v>125</v>
      </c>
      <c r="O20" s="6">
        <v>3180</v>
      </c>
      <c r="R20">
        <v>4</v>
      </c>
      <c r="S20">
        <v>4</v>
      </c>
    </row>
    <row r="21" spans="1:21">
      <c r="A21" s="4" t="s">
        <v>100</v>
      </c>
      <c r="B21" s="4" t="s">
        <v>126</v>
      </c>
      <c r="C21" s="379">
        <v>38199</v>
      </c>
      <c r="D21" s="379">
        <v>38213</v>
      </c>
      <c r="E21" s="379" t="s">
        <v>127</v>
      </c>
      <c r="G21" s="379" t="s">
        <v>128</v>
      </c>
      <c r="H21" s="379" t="s">
        <v>129</v>
      </c>
      <c r="I21" s="379" t="s">
        <v>18</v>
      </c>
      <c r="J21" t="s">
        <v>51</v>
      </c>
      <c r="K21" t="s">
        <v>130</v>
      </c>
      <c r="L21" t="s">
        <v>131</v>
      </c>
      <c r="N21" s="2" t="s">
        <v>132</v>
      </c>
      <c r="O21" s="6">
        <f>960*2</f>
        <v>1920</v>
      </c>
      <c r="R21">
        <v>2</v>
      </c>
      <c r="S21">
        <v>5</v>
      </c>
    </row>
    <row r="22" spans="1:21">
      <c r="A22" s="4" t="s">
        <v>102</v>
      </c>
      <c r="B22" s="4" t="s">
        <v>101</v>
      </c>
      <c r="C22" s="379">
        <v>38213</v>
      </c>
      <c r="D22" s="379">
        <v>38227</v>
      </c>
      <c r="E22" s="379" t="s">
        <v>139</v>
      </c>
      <c r="G22" s="379" t="s">
        <v>140</v>
      </c>
      <c r="H22" s="379" t="s">
        <v>141</v>
      </c>
      <c r="I22" s="379" t="s">
        <v>54</v>
      </c>
      <c r="J22" t="s">
        <v>19</v>
      </c>
      <c r="K22" t="s">
        <v>138</v>
      </c>
      <c r="N22" s="2" t="s">
        <v>142</v>
      </c>
      <c r="O22" s="6">
        <f>860*2</f>
        <v>1720</v>
      </c>
      <c r="R22">
        <v>2</v>
      </c>
      <c r="S22">
        <v>7</v>
      </c>
    </row>
    <row r="23" spans="1:21">
      <c r="A23" s="4" t="s">
        <v>146</v>
      </c>
      <c r="B23" s="4" t="s">
        <v>144</v>
      </c>
      <c r="C23" s="379">
        <v>38227</v>
      </c>
      <c r="D23" s="379">
        <v>38241</v>
      </c>
      <c r="E23" s="379" t="s">
        <v>148</v>
      </c>
      <c r="G23" s="379" t="s">
        <v>149</v>
      </c>
      <c r="H23" s="379" t="s">
        <v>150</v>
      </c>
      <c r="I23" s="379" t="s">
        <v>18</v>
      </c>
      <c r="J23" t="s">
        <v>51</v>
      </c>
      <c r="K23" t="s">
        <v>151</v>
      </c>
      <c r="N23" s="2" t="s">
        <v>145</v>
      </c>
      <c r="O23" s="6">
        <f>490+730</f>
        <v>1220</v>
      </c>
      <c r="R23">
        <v>2</v>
      </c>
      <c r="S23">
        <v>3</v>
      </c>
    </row>
    <row r="24" spans="1:21">
      <c r="A24" t="s">
        <v>176</v>
      </c>
      <c r="B24" t="s">
        <v>177</v>
      </c>
      <c r="C24" s="379">
        <v>38241</v>
      </c>
      <c r="D24" s="379">
        <v>38248</v>
      </c>
      <c r="E24" s="379" t="s">
        <v>175</v>
      </c>
      <c r="G24" s="379">
        <v>41000</v>
      </c>
      <c r="H24" s="379" t="s">
        <v>178</v>
      </c>
      <c r="I24" s="379" t="s">
        <v>23</v>
      </c>
      <c r="J24" t="s">
        <v>19</v>
      </c>
      <c r="N24" s="2" t="s">
        <v>174</v>
      </c>
      <c r="O24" s="6">
        <v>490</v>
      </c>
      <c r="Q24" t="s">
        <v>179</v>
      </c>
      <c r="R24">
        <v>1</v>
      </c>
      <c r="S24">
        <v>5</v>
      </c>
    </row>
    <row r="25" spans="1:21">
      <c r="A25" t="s">
        <v>209</v>
      </c>
      <c r="B25" t="s">
        <v>208</v>
      </c>
      <c r="C25" s="379">
        <v>38248</v>
      </c>
      <c r="D25" s="379">
        <v>38255</v>
      </c>
      <c r="E25" s="379" t="s">
        <v>210</v>
      </c>
      <c r="H25" s="379" t="s">
        <v>211</v>
      </c>
      <c r="I25" s="379" t="s">
        <v>212</v>
      </c>
      <c r="J25" t="s">
        <v>180</v>
      </c>
      <c r="N25" s="2" t="s">
        <v>198</v>
      </c>
      <c r="O25" s="6">
        <v>490</v>
      </c>
      <c r="R25">
        <v>1</v>
      </c>
    </row>
    <row r="26" spans="1:21">
      <c r="A26" t="s">
        <v>217</v>
      </c>
      <c r="B26" t="s">
        <v>213</v>
      </c>
      <c r="C26" s="379">
        <v>38283</v>
      </c>
      <c r="D26" s="379">
        <v>38290</v>
      </c>
      <c r="E26" s="379" t="s">
        <v>214</v>
      </c>
      <c r="G26" s="379">
        <v>91630</v>
      </c>
      <c r="H26" s="379" t="s">
        <v>215</v>
      </c>
      <c r="I26" s="379" t="s">
        <v>23</v>
      </c>
      <c r="J26" t="s">
        <v>19</v>
      </c>
      <c r="L26" t="s">
        <v>216</v>
      </c>
      <c r="N26" s="2" t="s">
        <v>218</v>
      </c>
      <c r="O26" s="6">
        <v>460</v>
      </c>
      <c r="R26">
        <v>1</v>
      </c>
      <c r="U26" t="s">
        <v>232</v>
      </c>
    </row>
    <row r="27" spans="1:21">
      <c r="A27" t="s">
        <v>220</v>
      </c>
      <c r="B27" t="s">
        <v>219</v>
      </c>
      <c r="C27" s="379">
        <v>38339</v>
      </c>
      <c r="D27" s="379">
        <v>38347</v>
      </c>
      <c r="E27" s="379" t="s">
        <v>221</v>
      </c>
      <c r="G27" s="379">
        <v>92200</v>
      </c>
      <c r="H27" s="379" t="s">
        <v>222</v>
      </c>
      <c r="I27" s="379" t="s">
        <v>23</v>
      </c>
      <c r="J27" t="s">
        <v>19</v>
      </c>
      <c r="K27" t="s">
        <v>223</v>
      </c>
      <c r="L27" t="s">
        <v>224</v>
      </c>
      <c r="N27" s="2" t="s">
        <v>225</v>
      </c>
      <c r="O27" s="5">
        <v>720</v>
      </c>
      <c r="R27">
        <v>1</v>
      </c>
      <c r="S27">
        <v>9</v>
      </c>
      <c r="T27">
        <v>1</v>
      </c>
      <c r="U27" t="s">
        <v>232</v>
      </c>
    </row>
    <row r="75" spans="6:7">
      <c r="F75" s="1077"/>
      <c r="G75" s="1078"/>
    </row>
    <row r="76" spans="6:7">
      <c r="G76" s="1078"/>
    </row>
    <row r="77" spans="6:7">
      <c r="G77" s="1078"/>
    </row>
    <row r="78" spans="6:7">
      <c r="G78" s="1078"/>
    </row>
    <row r="79" spans="6:7">
      <c r="G79" s="1078"/>
    </row>
    <row r="80" spans="6:7">
      <c r="G80" s="1078"/>
    </row>
    <row r="106" spans="1:11">
      <c r="B106" s="3" t="s">
        <v>925</v>
      </c>
      <c r="C106" s="380" t="s">
        <v>924</v>
      </c>
      <c r="D106" s="380" t="s">
        <v>923</v>
      </c>
      <c r="E106" s="380" t="s">
        <v>922</v>
      </c>
      <c r="F106" s="380" t="s">
        <v>926</v>
      </c>
      <c r="G106" s="380" t="s">
        <v>921</v>
      </c>
      <c r="H106" s="380" t="s">
        <v>920</v>
      </c>
      <c r="I106" s="380" t="s">
        <v>927</v>
      </c>
    </row>
    <row r="107" spans="1:11">
      <c r="A107">
        <v>1</v>
      </c>
      <c r="B107" t="s">
        <v>919</v>
      </c>
      <c r="C107" s="379">
        <v>4060</v>
      </c>
      <c r="D107" s="379">
        <v>4130</v>
      </c>
      <c r="E107" s="379">
        <v>3.5</v>
      </c>
      <c r="F107" s="379">
        <v>4275</v>
      </c>
      <c r="G107" s="379">
        <v>4000</v>
      </c>
      <c r="H107" s="379">
        <v>4500</v>
      </c>
      <c r="I107" s="379">
        <f>F107*13+H107</f>
        <v>60075</v>
      </c>
    </row>
    <row r="108" spans="1:11">
      <c r="A108">
        <v>2</v>
      </c>
      <c r="B108" t="s">
        <v>918</v>
      </c>
      <c r="C108" s="379">
        <v>3867</v>
      </c>
      <c r="D108" s="379">
        <v>4255</v>
      </c>
      <c r="E108" s="379">
        <v>2.5</v>
      </c>
      <c r="F108" s="379">
        <v>4365</v>
      </c>
      <c r="G108" s="379">
        <v>3000</v>
      </c>
      <c r="H108" s="379">
        <v>3000</v>
      </c>
      <c r="I108" s="379">
        <f t="shared" ref="I108:I135" si="0">F108*13+H108</f>
        <v>59745</v>
      </c>
    </row>
    <row r="109" spans="1:11">
      <c r="A109">
        <v>3</v>
      </c>
      <c r="B109" t="s">
        <v>917</v>
      </c>
      <c r="D109" s="379">
        <v>2000</v>
      </c>
      <c r="E109" s="379">
        <v>5</v>
      </c>
      <c r="F109" s="379">
        <v>2100</v>
      </c>
      <c r="H109" s="379">
        <v>1500</v>
      </c>
      <c r="I109" s="379">
        <f t="shared" si="0"/>
        <v>28800</v>
      </c>
    </row>
    <row r="110" spans="1:11">
      <c r="A110" s="82">
        <v>4</v>
      </c>
      <c r="B110" s="83" t="s">
        <v>916</v>
      </c>
      <c r="C110" s="419">
        <v>7880</v>
      </c>
      <c r="D110" s="419">
        <v>8015</v>
      </c>
      <c r="E110" s="419">
        <v>5</v>
      </c>
      <c r="F110" s="421">
        <v>8415</v>
      </c>
      <c r="G110" s="421">
        <v>10000</v>
      </c>
      <c r="H110" s="421">
        <v>11000</v>
      </c>
      <c r="I110" s="380">
        <f t="shared" si="0"/>
        <v>120395</v>
      </c>
    </row>
    <row r="111" spans="1:11">
      <c r="A111">
        <v>5</v>
      </c>
      <c r="B111" t="s">
        <v>915</v>
      </c>
      <c r="C111" s="379">
        <v>5339</v>
      </c>
      <c r="D111" s="379">
        <v>5430</v>
      </c>
      <c r="E111" s="379">
        <v>2.5</v>
      </c>
      <c r="F111" s="379">
        <v>5565</v>
      </c>
      <c r="G111" s="379">
        <v>2000</v>
      </c>
      <c r="H111" s="379">
        <v>3000</v>
      </c>
      <c r="I111" s="418">
        <f t="shared" si="0"/>
        <v>75345</v>
      </c>
      <c r="J111" s="92">
        <f>F111*1.035</f>
        <v>5759.7749999999996</v>
      </c>
      <c r="K111" s="98">
        <f>J111*13</f>
        <v>74877.074999999997</v>
      </c>
    </row>
    <row r="112" spans="1:11">
      <c r="A112" s="82">
        <v>6</v>
      </c>
      <c r="B112" s="83" t="s">
        <v>914</v>
      </c>
      <c r="C112" s="419">
        <v>8410</v>
      </c>
      <c r="D112" s="419">
        <v>8555</v>
      </c>
      <c r="E112" s="419">
        <v>5</v>
      </c>
      <c r="F112" s="421">
        <v>8985</v>
      </c>
      <c r="G112" s="421">
        <v>10000</v>
      </c>
      <c r="H112" s="421">
        <v>12000</v>
      </c>
      <c r="I112" s="380">
        <f t="shared" si="0"/>
        <v>128805</v>
      </c>
    </row>
    <row r="113" spans="1:9">
      <c r="A113">
        <v>7</v>
      </c>
      <c r="B113" t="s">
        <v>913</v>
      </c>
      <c r="C113" s="379">
        <v>1725</v>
      </c>
      <c r="D113" s="379">
        <v>1815</v>
      </c>
      <c r="E113" s="379">
        <v>3.5</v>
      </c>
      <c r="F113" s="379">
        <v>1880</v>
      </c>
      <c r="G113" s="379">
        <v>2000</v>
      </c>
      <c r="H113" s="379">
        <v>2500</v>
      </c>
      <c r="I113" s="379">
        <f t="shared" si="0"/>
        <v>26940</v>
      </c>
    </row>
    <row r="114" spans="1:9">
      <c r="A114">
        <v>8</v>
      </c>
      <c r="B114" t="s">
        <v>912</v>
      </c>
      <c r="D114" s="379">
        <v>4615</v>
      </c>
      <c r="E114" s="379">
        <v>2.5</v>
      </c>
      <c r="F114" s="379">
        <v>4730</v>
      </c>
      <c r="H114" s="379">
        <v>1500</v>
      </c>
      <c r="I114" s="379">
        <f t="shared" si="0"/>
        <v>62990</v>
      </c>
    </row>
    <row r="115" spans="1:9">
      <c r="A115">
        <v>9</v>
      </c>
      <c r="B115" t="s">
        <v>911</v>
      </c>
      <c r="C115" s="379">
        <v>1924</v>
      </c>
      <c r="D115" s="379">
        <v>1960</v>
      </c>
      <c r="E115" s="379">
        <v>2.5</v>
      </c>
      <c r="F115" s="379">
        <v>2010</v>
      </c>
      <c r="H115" s="379">
        <v>1500</v>
      </c>
      <c r="I115" s="379">
        <f t="shared" si="0"/>
        <v>27630</v>
      </c>
    </row>
    <row r="116" spans="1:9">
      <c r="A116">
        <v>10</v>
      </c>
      <c r="B116" t="s">
        <v>910</v>
      </c>
      <c r="C116" s="379">
        <v>2916</v>
      </c>
      <c r="D116" s="379">
        <v>3005</v>
      </c>
      <c r="E116" s="379">
        <v>3.5</v>
      </c>
      <c r="F116" s="379">
        <v>3110</v>
      </c>
      <c r="G116" s="379">
        <v>4000</v>
      </c>
      <c r="H116" s="379">
        <v>4500</v>
      </c>
      <c r="I116" s="379">
        <f t="shared" si="0"/>
        <v>44930</v>
      </c>
    </row>
    <row r="117" spans="1:9">
      <c r="A117">
        <v>11</v>
      </c>
      <c r="B117" t="s">
        <v>909</v>
      </c>
      <c r="C117" s="379">
        <v>4500</v>
      </c>
      <c r="D117" s="379">
        <v>4520</v>
      </c>
      <c r="E117" s="379">
        <v>2.5</v>
      </c>
      <c r="F117" s="379">
        <v>4635</v>
      </c>
      <c r="H117" s="379">
        <v>2000</v>
      </c>
      <c r="I117" s="379">
        <f t="shared" si="0"/>
        <v>62255</v>
      </c>
    </row>
    <row r="118" spans="1:9">
      <c r="A118">
        <v>12</v>
      </c>
      <c r="B118" t="s">
        <v>908</v>
      </c>
      <c r="C118" s="379">
        <v>2435</v>
      </c>
      <c r="D118" s="379">
        <v>2560</v>
      </c>
      <c r="E118" s="379">
        <v>3.5</v>
      </c>
      <c r="F118" s="379">
        <v>2650</v>
      </c>
      <c r="G118" s="379">
        <v>4000</v>
      </c>
      <c r="H118" s="379">
        <v>2500</v>
      </c>
      <c r="I118" s="379">
        <f t="shared" si="0"/>
        <v>36950</v>
      </c>
    </row>
    <row r="119" spans="1:9">
      <c r="A119" s="80">
        <v>13</v>
      </c>
      <c r="B119" s="81" t="s">
        <v>907</v>
      </c>
      <c r="C119" s="420">
        <v>13660</v>
      </c>
      <c r="D119" s="420">
        <v>14000</v>
      </c>
      <c r="E119" s="420">
        <v>2.5</v>
      </c>
      <c r="F119" s="422">
        <v>14350</v>
      </c>
      <c r="G119" s="422">
        <v>18000</v>
      </c>
      <c r="H119" s="422">
        <v>18000</v>
      </c>
      <c r="I119" s="380">
        <f t="shared" si="0"/>
        <v>204550</v>
      </c>
    </row>
    <row r="120" spans="1:9">
      <c r="A120">
        <v>14</v>
      </c>
      <c r="B120" t="s">
        <v>906</v>
      </c>
      <c r="C120" s="379">
        <v>2028</v>
      </c>
      <c r="D120" s="379">
        <v>2065</v>
      </c>
      <c r="E120" s="379">
        <v>3.5</v>
      </c>
      <c r="F120" s="379">
        <v>2140</v>
      </c>
      <c r="G120" s="379">
        <v>2500</v>
      </c>
      <c r="H120" s="379">
        <v>2500</v>
      </c>
      <c r="I120" s="379">
        <f t="shared" si="0"/>
        <v>30320</v>
      </c>
    </row>
    <row r="121" spans="1:9">
      <c r="A121">
        <v>15</v>
      </c>
      <c r="B121" t="s">
        <v>905</v>
      </c>
      <c r="C121" s="379">
        <v>2782</v>
      </c>
      <c r="D121" s="379">
        <v>2830</v>
      </c>
      <c r="E121" s="379">
        <v>2.5</v>
      </c>
      <c r="F121" s="379">
        <v>2900</v>
      </c>
      <c r="G121" s="379">
        <v>2000</v>
      </c>
      <c r="H121" s="379">
        <v>2500</v>
      </c>
      <c r="I121" s="379">
        <f t="shared" si="0"/>
        <v>40200</v>
      </c>
    </row>
    <row r="122" spans="1:9">
      <c r="A122">
        <v>16</v>
      </c>
      <c r="B122" t="s">
        <v>904</v>
      </c>
      <c r="C122" s="379">
        <v>1986</v>
      </c>
      <c r="D122" s="379">
        <v>2085</v>
      </c>
      <c r="E122" s="379">
        <v>5</v>
      </c>
      <c r="F122" s="379">
        <v>2190</v>
      </c>
      <c r="G122" s="379">
        <v>2000</v>
      </c>
      <c r="H122" s="379">
        <v>2500</v>
      </c>
      <c r="I122" s="379">
        <f t="shared" si="0"/>
        <v>30970</v>
      </c>
    </row>
    <row r="123" spans="1:9">
      <c r="A123">
        <v>17</v>
      </c>
      <c r="B123" t="s">
        <v>903</v>
      </c>
      <c r="C123" s="379">
        <v>2000</v>
      </c>
      <c r="D123" s="379">
        <v>2400</v>
      </c>
      <c r="E123" s="379">
        <v>2.5</v>
      </c>
      <c r="F123" s="379">
        <v>2460</v>
      </c>
      <c r="G123" s="379">
        <v>800</v>
      </c>
      <c r="H123" s="379">
        <v>2500</v>
      </c>
      <c r="I123" s="379">
        <f t="shared" si="0"/>
        <v>34480</v>
      </c>
    </row>
    <row r="124" spans="1:9">
      <c r="A124">
        <v>18</v>
      </c>
      <c r="B124" t="s">
        <v>902</v>
      </c>
      <c r="C124" s="379">
        <v>3146</v>
      </c>
      <c r="D124" s="379">
        <v>3200</v>
      </c>
      <c r="E124" s="379">
        <v>2.5</v>
      </c>
      <c r="F124" s="379">
        <v>3280</v>
      </c>
      <c r="G124" s="379">
        <v>3500</v>
      </c>
      <c r="H124" s="379">
        <v>4000</v>
      </c>
      <c r="I124" s="379">
        <f t="shared" si="0"/>
        <v>46640</v>
      </c>
    </row>
    <row r="125" spans="1:9">
      <c r="A125">
        <v>19</v>
      </c>
      <c r="B125" t="s">
        <v>901</v>
      </c>
      <c r="C125" s="379">
        <v>5289</v>
      </c>
      <c r="D125" s="379">
        <v>5289</v>
      </c>
      <c r="I125" s="379">
        <f t="shared" si="0"/>
        <v>0</v>
      </c>
    </row>
    <row r="126" spans="1:9">
      <c r="A126">
        <v>20</v>
      </c>
      <c r="B126" t="s">
        <v>900</v>
      </c>
      <c r="C126" s="379">
        <v>1850</v>
      </c>
      <c r="D126" s="379">
        <v>2100</v>
      </c>
      <c r="F126" s="379">
        <v>2100</v>
      </c>
      <c r="G126" s="379">
        <v>600</v>
      </c>
      <c r="H126" s="379">
        <v>1500</v>
      </c>
      <c r="I126" s="379">
        <f t="shared" si="0"/>
        <v>28800</v>
      </c>
    </row>
    <row r="127" spans="1:9">
      <c r="A127">
        <v>21</v>
      </c>
      <c r="B127" t="s">
        <v>899</v>
      </c>
      <c r="C127" s="379">
        <v>4532</v>
      </c>
      <c r="D127" s="379">
        <v>4610</v>
      </c>
      <c r="F127" s="379">
        <v>4610</v>
      </c>
      <c r="I127" s="379">
        <f t="shared" si="0"/>
        <v>59930</v>
      </c>
    </row>
    <row r="128" spans="1:9">
      <c r="A128">
        <v>22</v>
      </c>
      <c r="B128" t="s">
        <v>898</v>
      </c>
      <c r="C128" s="379">
        <v>1726</v>
      </c>
      <c r="D128" s="379">
        <v>1815</v>
      </c>
      <c r="E128" s="379">
        <v>2.5</v>
      </c>
      <c r="F128" s="379">
        <v>1860</v>
      </c>
      <c r="G128" s="379">
        <v>1000</v>
      </c>
      <c r="H128" s="379">
        <v>2000</v>
      </c>
      <c r="I128" s="379">
        <f t="shared" si="0"/>
        <v>26180</v>
      </c>
    </row>
    <row r="129" spans="1:9">
      <c r="A129">
        <v>23</v>
      </c>
      <c r="B129" t="s">
        <v>897</v>
      </c>
      <c r="C129" s="379">
        <v>1624</v>
      </c>
      <c r="D129" s="379">
        <v>1655</v>
      </c>
      <c r="E129" s="379">
        <v>2.5</v>
      </c>
      <c r="F129" s="379">
        <v>1700</v>
      </c>
      <c r="H129" s="379">
        <v>1500</v>
      </c>
      <c r="I129" s="379">
        <f t="shared" si="0"/>
        <v>23600</v>
      </c>
    </row>
    <row r="130" spans="1:9">
      <c r="A130">
        <v>24</v>
      </c>
      <c r="B130" t="s">
        <v>896</v>
      </c>
      <c r="C130" s="379">
        <v>2600</v>
      </c>
      <c r="D130" s="379">
        <v>2645</v>
      </c>
      <c r="E130" s="379">
        <v>5</v>
      </c>
      <c r="F130" s="379">
        <v>2780</v>
      </c>
      <c r="G130" s="379">
        <v>2500</v>
      </c>
      <c r="H130" s="379">
        <v>3000</v>
      </c>
      <c r="I130" s="379">
        <f t="shared" si="0"/>
        <v>39140</v>
      </c>
    </row>
    <row r="131" spans="1:9">
      <c r="A131">
        <v>25</v>
      </c>
      <c r="B131" t="s">
        <v>895</v>
      </c>
      <c r="C131" s="379">
        <v>3675</v>
      </c>
      <c r="D131" s="379">
        <v>3740</v>
      </c>
      <c r="E131" s="379">
        <v>3.5</v>
      </c>
      <c r="F131" s="379">
        <v>3870</v>
      </c>
      <c r="G131" s="379">
        <v>3000</v>
      </c>
      <c r="H131" s="379">
        <v>3500</v>
      </c>
      <c r="I131" s="379">
        <f t="shared" si="0"/>
        <v>53810</v>
      </c>
    </row>
    <row r="132" spans="1:9">
      <c r="A132">
        <v>26</v>
      </c>
      <c r="B132" t="s">
        <v>894</v>
      </c>
      <c r="D132" s="379">
        <v>5200</v>
      </c>
      <c r="E132" s="379">
        <v>2.5</v>
      </c>
      <c r="F132" s="379">
        <v>5330</v>
      </c>
      <c r="H132" s="379">
        <v>2500</v>
      </c>
      <c r="I132" s="379">
        <f t="shared" si="0"/>
        <v>71790</v>
      </c>
    </row>
    <row r="133" spans="1:9">
      <c r="A133">
        <v>27</v>
      </c>
      <c r="B133" t="s">
        <v>893</v>
      </c>
      <c r="D133" s="379">
        <v>1700</v>
      </c>
      <c r="F133" s="379">
        <v>1700</v>
      </c>
      <c r="I133" s="379">
        <f t="shared" si="0"/>
        <v>22100</v>
      </c>
    </row>
    <row r="134" spans="1:9">
      <c r="A134">
        <v>28</v>
      </c>
      <c r="B134" t="s">
        <v>892</v>
      </c>
      <c r="C134" s="379">
        <v>600</v>
      </c>
      <c r="D134" s="379">
        <v>500</v>
      </c>
      <c r="F134" s="379">
        <v>500</v>
      </c>
      <c r="G134" s="379">
        <v>600</v>
      </c>
      <c r="H134" s="379">
        <v>500</v>
      </c>
      <c r="I134" s="379">
        <f t="shared" si="0"/>
        <v>7000</v>
      </c>
    </row>
    <row r="135" spans="1:9">
      <c r="C135" s="379">
        <f>SUM(C107:C134)</f>
        <v>90554</v>
      </c>
      <c r="D135" s="379">
        <f>SUM(D107:D134)</f>
        <v>106694</v>
      </c>
      <c r="F135" s="379">
        <f>SUM(F107:F134)</f>
        <v>104490</v>
      </c>
      <c r="G135" s="379">
        <f>SUM(G107:G134)</f>
        <v>75500</v>
      </c>
      <c r="H135" s="379">
        <f>SUM(H107:H134)</f>
        <v>96000</v>
      </c>
      <c r="I135" s="379">
        <f t="shared" si="0"/>
        <v>1454370</v>
      </c>
    </row>
  </sheetData>
  <phoneticPr fontId="0" type="noConversion"/>
  <hyperlinks>
    <hyperlink ref="N9" r:id="rId1" xr:uid="{00000000-0004-0000-0500-000000000000}"/>
    <hyperlink ref="N6" r:id="rId2" xr:uid="{00000000-0004-0000-0500-000001000000}"/>
    <hyperlink ref="N4" r:id="rId3" xr:uid="{00000000-0004-0000-0500-000002000000}"/>
    <hyperlink ref="N8" r:id="rId4" xr:uid="{00000000-0004-0000-0500-000003000000}"/>
    <hyperlink ref="N5" r:id="rId5" xr:uid="{00000000-0004-0000-0500-000004000000}"/>
    <hyperlink ref="N2" r:id="rId6" xr:uid="{00000000-0004-0000-0500-000005000000}"/>
    <hyperlink ref="N3" r:id="rId7" xr:uid="{00000000-0004-0000-0500-000006000000}"/>
    <hyperlink ref="N10" r:id="rId8" xr:uid="{00000000-0004-0000-0500-000007000000}"/>
    <hyperlink ref="N11" r:id="rId9" xr:uid="{00000000-0004-0000-0500-000008000000}"/>
    <hyperlink ref="N13" r:id="rId10" xr:uid="{00000000-0004-0000-0500-000009000000}"/>
    <hyperlink ref="N14" r:id="rId11" xr:uid="{00000000-0004-0000-0500-00000A000000}"/>
    <hyperlink ref="N15" r:id="rId12" xr:uid="{00000000-0004-0000-0500-00000B000000}"/>
    <hyperlink ref="N20" r:id="rId13" xr:uid="{00000000-0004-0000-0500-00000C000000}"/>
    <hyperlink ref="N21" r:id="rId14" xr:uid="{00000000-0004-0000-0500-00000D000000}"/>
    <hyperlink ref="N22" r:id="rId15" xr:uid="{00000000-0004-0000-0500-00000E000000}"/>
    <hyperlink ref="N23" r:id="rId16" xr:uid="{00000000-0004-0000-0500-00000F000000}"/>
    <hyperlink ref="N16" r:id="rId17" xr:uid="{00000000-0004-0000-0500-000010000000}"/>
    <hyperlink ref="N7" r:id="rId18" xr:uid="{00000000-0004-0000-0500-000011000000}"/>
    <hyperlink ref="N17" r:id="rId19" xr:uid="{00000000-0004-0000-0500-000012000000}"/>
    <hyperlink ref="N24" r:id="rId20" display="mailto:kiki.tipunch@wanadoo.fr" xr:uid="{00000000-0004-0000-0500-000013000000}"/>
    <hyperlink ref="N12" r:id="rId21" xr:uid="{00000000-0004-0000-0500-000014000000}"/>
    <hyperlink ref="N26" r:id="rId22" display="audret@tiscali.fr" xr:uid="{00000000-0004-0000-0500-000015000000}"/>
    <hyperlink ref="N27" r:id="rId23" xr:uid="{00000000-0004-0000-0500-000016000000}"/>
  </hyperlinks>
  <pageMargins left="0.78740157499999996" right="0.78740157499999996" top="0.984251969" bottom="0.984251969" header="0.4921259845" footer="0.4921259845"/>
  <pageSetup paperSize="9" orientation="portrait" horizontalDpi="300" verticalDpi="300" r:id="rId24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CEDC46-1782-4E19-BDA7-989801E6CB78}">
  <dimension ref="A1:AD206"/>
  <sheetViews>
    <sheetView topLeftCell="U1" workbookViewId="0">
      <selection activeCell="AD2" sqref="AD2:AD18"/>
    </sheetView>
  </sheetViews>
  <sheetFormatPr baseColWidth="10" defaultRowHeight="10.199999999999999"/>
  <cols>
    <col min="1" max="1" width="18.77734375" style="8" bestFit="1" customWidth="1"/>
    <col min="2" max="2" width="11.5546875" style="8"/>
    <col min="3" max="3" width="9" style="8" customWidth="1"/>
    <col min="4" max="4" width="18.44140625" style="8" bestFit="1" customWidth="1"/>
    <col min="5" max="5" width="20.88671875" style="8" bestFit="1" customWidth="1"/>
    <col min="6" max="6" width="0" style="8" hidden="1" customWidth="1"/>
    <col min="7" max="7" width="10.77734375" style="8" customWidth="1"/>
    <col min="8" max="8" width="16.109375" style="8" customWidth="1"/>
    <col min="9" max="9" width="11.5546875" style="8"/>
    <col min="10" max="10" width="6.44140625" style="8" customWidth="1"/>
    <col min="11" max="11" width="11.5546875" style="8"/>
    <col min="12" max="12" width="17" style="8" customWidth="1"/>
    <col min="13" max="13" width="18" style="8" hidden="1" customWidth="1"/>
    <col min="14" max="14" width="19.77734375" style="8" customWidth="1"/>
    <col min="15" max="15" width="12.109375" style="8" customWidth="1"/>
    <col min="16" max="16" width="15.5546875" style="8" hidden="1" customWidth="1"/>
    <col min="17" max="17" width="21.21875" style="8" bestFit="1" customWidth="1"/>
    <col min="18" max="18" width="16.77734375" style="439" bestFit="1" customWidth="1"/>
    <col min="19" max="19" width="17.5546875" style="8" bestFit="1" customWidth="1"/>
    <col min="20" max="20" width="20.88671875" style="8" bestFit="1" customWidth="1"/>
    <col min="21" max="21" width="17" style="8" bestFit="1" customWidth="1"/>
    <col min="22" max="22" width="21.77734375" style="8" bestFit="1" customWidth="1"/>
    <col min="23" max="16384" width="11.5546875" style="8"/>
  </cols>
  <sheetData>
    <row r="1" spans="1:30">
      <c r="A1" s="7" t="s">
        <v>0</v>
      </c>
      <c r="B1" s="7" t="s">
        <v>1</v>
      </c>
      <c r="C1" s="29" t="s">
        <v>370</v>
      </c>
      <c r="D1" s="29" t="s">
        <v>371</v>
      </c>
      <c r="E1" s="7" t="s">
        <v>2</v>
      </c>
      <c r="F1" s="7" t="s">
        <v>3</v>
      </c>
      <c r="G1" s="133" t="s">
        <v>4</v>
      </c>
      <c r="H1" s="8" t="s">
        <v>16</v>
      </c>
      <c r="I1" s="7" t="s">
        <v>5</v>
      </c>
      <c r="J1" s="7" t="s">
        <v>6</v>
      </c>
      <c r="K1" s="7" t="s">
        <v>7</v>
      </c>
      <c r="L1" s="7" t="s">
        <v>21</v>
      </c>
      <c r="M1" s="7" t="s">
        <v>8</v>
      </c>
      <c r="N1" s="7" t="s">
        <v>9</v>
      </c>
      <c r="O1" s="7" t="s">
        <v>418</v>
      </c>
      <c r="P1" s="7" t="s">
        <v>38</v>
      </c>
      <c r="Q1" s="8" t="s">
        <v>67</v>
      </c>
      <c r="R1" s="439" t="s">
        <v>417</v>
      </c>
      <c r="S1" s="133" t="s">
        <v>416</v>
      </c>
      <c r="T1" s="133" t="s">
        <v>105</v>
      </c>
      <c r="U1" s="7" t="s">
        <v>231</v>
      </c>
      <c r="V1" s="8" t="s">
        <v>836</v>
      </c>
      <c r="W1" s="8" t="s">
        <v>835</v>
      </c>
      <c r="X1" s="8" t="s">
        <v>869</v>
      </c>
    </row>
    <row r="2" spans="1:30">
      <c r="A2" s="115" t="s">
        <v>2976</v>
      </c>
      <c r="B2" s="115" t="s">
        <v>2977</v>
      </c>
      <c r="C2" s="116">
        <v>44492</v>
      </c>
      <c r="D2" s="116">
        <v>44499</v>
      </c>
      <c r="E2" s="115" t="s">
        <v>2978</v>
      </c>
      <c r="F2" s="115"/>
      <c r="G2" s="115" t="s">
        <v>2979</v>
      </c>
      <c r="H2" s="115" t="s">
        <v>2980</v>
      </c>
      <c r="I2" s="115" t="s">
        <v>18</v>
      </c>
      <c r="J2" s="115" t="s">
        <v>51</v>
      </c>
      <c r="K2" s="115"/>
      <c r="L2" s="124" t="s">
        <v>2981</v>
      </c>
      <c r="M2" s="115"/>
      <c r="N2" s="128" t="s">
        <v>2982</v>
      </c>
      <c r="O2" s="118">
        <v>990</v>
      </c>
      <c r="P2" s="115"/>
      <c r="Q2" s="115" t="s">
        <v>1500</v>
      </c>
      <c r="R2" s="1486">
        <v>1</v>
      </c>
      <c r="S2" s="361">
        <v>2</v>
      </c>
      <c r="T2" s="361">
        <v>1</v>
      </c>
      <c r="U2" s="129">
        <v>247.5</v>
      </c>
      <c r="V2" s="120">
        <v>44380</v>
      </c>
      <c r="W2" s="115" t="s">
        <v>1477</v>
      </c>
      <c r="X2" s="115" t="s">
        <v>1154</v>
      </c>
      <c r="Y2" s="115"/>
      <c r="Z2" s="115"/>
      <c r="AA2" s="115"/>
      <c r="AD2" s="397" t="s">
        <v>2296</v>
      </c>
    </row>
    <row r="3" spans="1:30">
      <c r="A3" s="115" t="s">
        <v>2433</v>
      </c>
      <c r="B3" s="115" t="s">
        <v>538</v>
      </c>
      <c r="C3" s="116">
        <v>44016</v>
      </c>
      <c r="D3" s="116">
        <v>44033</v>
      </c>
      <c r="E3" s="115" t="s">
        <v>2434</v>
      </c>
      <c r="F3" s="115"/>
      <c r="G3" s="361" t="s">
        <v>2435</v>
      </c>
      <c r="H3" s="115" t="s">
        <v>2436</v>
      </c>
      <c r="I3" s="115" t="s">
        <v>168</v>
      </c>
      <c r="J3" s="115" t="s">
        <v>1023</v>
      </c>
      <c r="K3" s="115"/>
      <c r="L3" s="124" t="s">
        <v>2437</v>
      </c>
      <c r="M3" s="115"/>
      <c r="N3" s="128" t="s">
        <v>2438</v>
      </c>
      <c r="O3" s="118">
        <f>1990*2.5</f>
        <v>4975</v>
      </c>
      <c r="P3" s="115" t="s">
        <v>1401</v>
      </c>
      <c r="Q3" s="115" t="s">
        <v>2439</v>
      </c>
      <c r="R3" s="1486">
        <v>2.5</v>
      </c>
      <c r="S3" s="361">
        <v>4</v>
      </c>
      <c r="T3" s="361">
        <v>1</v>
      </c>
      <c r="U3" s="119">
        <v>4975</v>
      </c>
      <c r="V3" s="120">
        <v>43833</v>
      </c>
      <c r="W3" s="115" t="s">
        <v>1338</v>
      </c>
      <c r="X3" s="115" t="s">
        <v>1154</v>
      </c>
      <c r="Y3" s="115"/>
      <c r="Z3" s="115"/>
      <c r="AA3" s="115"/>
      <c r="AD3" s="128" t="s">
        <v>2982</v>
      </c>
    </row>
    <row r="4" spans="1:30" s="115" customFormat="1" ht="13.2">
      <c r="A4" s="939" t="s">
        <v>2827</v>
      </c>
      <c r="B4" s="939" t="s">
        <v>2828</v>
      </c>
      <c r="C4" s="940">
        <v>44506</v>
      </c>
      <c r="D4" s="940">
        <v>44520</v>
      </c>
      <c r="E4" s="1116" t="s">
        <v>2830</v>
      </c>
      <c r="F4" s="939"/>
      <c r="G4" s="941" t="s">
        <v>2831</v>
      </c>
      <c r="H4" s="939" t="s">
        <v>2832</v>
      </c>
      <c r="I4" s="939" t="s">
        <v>18</v>
      </c>
      <c r="J4" s="939" t="s">
        <v>51</v>
      </c>
      <c r="K4" s="939"/>
      <c r="L4" s="942" t="s">
        <v>2829</v>
      </c>
      <c r="M4" s="939"/>
      <c r="N4" s="1117" t="s">
        <v>2833</v>
      </c>
      <c r="O4" s="943">
        <v>1740</v>
      </c>
      <c r="P4" s="939"/>
      <c r="Q4" s="939" t="s">
        <v>2886</v>
      </c>
      <c r="R4" s="1500">
        <v>2</v>
      </c>
      <c r="S4" s="941">
        <v>2</v>
      </c>
      <c r="T4" s="941">
        <v>2</v>
      </c>
      <c r="U4" s="1776">
        <v>435</v>
      </c>
      <c r="V4" s="945">
        <v>44195</v>
      </c>
      <c r="W4" s="939" t="s">
        <v>1477</v>
      </c>
      <c r="X4" s="939" t="s">
        <v>1154</v>
      </c>
      <c r="Y4" s="939"/>
      <c r="Z4" s="939"/>
      <c r="AA4" s="939"/>
      <c r="AD4" s="121" t="s">
        <v>3834</v>
      </c>
    </row>
    <row r="5" spans="1:30" s="115" customFormat="1" ht="13.2">
      <c r="A5" s="355" t="s">
        <v>3435</v>
      </c>
      <c r="B5" s="355" t="s">
        <v>3436</v>
      </c>
      <c r="C5" s="357">
        <v>45164</v>
      </c>
      <c r="D5" s="357">
        <v>45178</v>
      </c>
      <c r="E5" s="355" t="s">
        <v>3437</v>
      </c>
      <c r="F5" s="355"/>
      <c r="G5" s="355" t="s">
        <v>3438</v>
      </c>
      <c r="H5" s="355" t="s">
        <v>937</v>
      </c>
      <c r="I5" s="355" t="s">
        <v>18</v>
      </c>
      <c r="J5" s="355" t="s">
        <v>51</v>
      </c>
      <c r="K5" s="355"/>
      <c r="L5" s="1513" t="s">
        <v>3439</v>
      </c>
      <c r="M5" s="355"/>
      <c r="N5" s="401" t="s">
        <v>3440</v>
      </c>
      <c r="O5" s="359">
        <v>0</v>
      </c>
      <c r="P5" s="355"/>
      <c r="Q5" s="355" t="s">
        <v>3434</v>
      </c>
      <c r="R5" s="1487">
        <v>2</v>
      </c>
      <c r="S5" s="358">
        <v>4</v>
      </c>
      <c r="T5" s="358">
        <v>1</v>
      </c>
      <c r="U5" s="1775"/>
      <c r="V5" s="360">
        <v>44955</v>
      </c>
      <c r="W5" s="355" t="s">
        <v>1477</v>
      </c>
      <c r="X5" s="355" t="s">
        <v>1154</v>
      </c>
      <c r="Y5" s="355"/>
      <c r="Z5" s="355"/>
      <c r="AA5" s="355"/>
      <c r="AD5" s="121" t="s">
        <v>3342</v>
      </c>
    </row>
    <row r="6" spans="1:30" s="355" customFormat="1" ht="13.2">
      <c r="A6" s="115" t="s">
        <v>2944</v>
      </c>
      <c r="B6" s="115" t="s">
        <v>3866</v>
      </c>
      <c r="C6" s="116">
        <v>45430</v>
      </c>
      <c r="D6" s="116">
        <v>45437</v>
      </c>
      <c r="E6" s="935" t="s">
        <v>3867</v>
      </c>
      <c r="F6" s="115"/>
      <c r="G6" s="935" t="s">
        <v>3868</v>
      </c>
      <c r="H6" s="115" t="s">
        <v>3869</v>
      </c>
      <c r="I6" s="115" t="s">
        <v>18</v>
      </c>
      <c r="J6" s="115" t="s">
        <v>51</v>
      </c>
      <c r="K6" s="115"/>
      <c r="L6" s="935" t="s">
        <v>3870</v>
      </c>
      <c r="M6" s="115"/>
      <c r="N6" s="121" t="s">
        <v>3871</v>
      </c>
      <c r="O6" s="118">
        <v>1390</v>
      </c>
      <c r="P6" s="115"/>
      <c r="Q6" s="115" t="s">
        <v>1025</v>
      </c>
      <c r="R6" s="1486">
        <v>1</v>
      </c>
      <c r="S6" s="361">
        <v>2</v>
      </c>
      <c r="T6" s="361">
        <v>1</v>
      </c>
      <c r="U6" s="129">
        <v>350</v>
      </c>
      <c r="V6" s="120">
        <v>45321</v>
      </c>
      <c r="W6" s="115" t="s">
        <v>1338</v>
      </c>
      <c r="X6" s="115" t="s">
        <v>1154</v>
      </c>
      <c r="Y6" s="115"/>
      <c r="Z6" s="115"/>
      <c r="AA6" s="115"/>
      <c r="AD6" s="1151" t="s">
        <v>2748</v>
      </c>
    </row>
    <row r="7" spans="1:30" s="115" customFormat="1">
      <c r="A7" s="900" t="s">
        <v>2735</v>
      </c>
      <c r="B7" s="900" t="s">
        <v>2736</v>
      </c>
      <c r="C7" s="901">
        <v>43994</v>
      </c>
      <c r="D7" s="901">
        <v>44008</v>
      </c>
      <c r="E7" s="1110" t="s">
        <v>2737</v>
      </c>
      <c r="F7" s="900"/>
      <c r="G7" s="1110" t="s">
        <v>2739</v>
      </c>
      <c r="H7" s="900" t="s">
        <v>2738</v>
      </c>
      <c r="I7" s="900" t="s">
        <v>168</v>
      </c>
      <c r="J7" s="900" t="s">
        <v>1023</v>
      </c>
      <c r="K7" s="900"/>
      <c r="L7" s="1110" t="s">
        <v>2740</v>
      </c>
      <c r="M7" s="900"/>
      <c r="N7" s="903" t="s">
        <v>2741</v>
      </c>
      <c r="O7" s="904"/>
      <c r="P7" s="900"/>
      <c r="Q7" s="900" t="s">
        <v>2759</v>
      </c>
      <c r="R7" s="1497"/>
      <c r="S7" s="902">
        <v>2</v>
      </c>
      <c r="T7" s="902">
        <v>2</v>
      </c>
      <c r="U7" s="930"/>
      <c r="V7" s="907">
        <v>44103</v>
      </c>
      <c r="W7" s="900" t="s">
        <v>1477</v>
      </c>
      <c r="X7" s="900" t="s">
        <v>1154</v>
      </c>
      <c r="Y7" s="900"/>
      <c r="Z7" s="900"/>
      <c r="AA7" s="900"/>
      <c r="AD7" s="1151" t="s">
        <v>2748</v>
      </c>
    </row>
    <row r="8" spans="1:30" s="115" customFormat="1" ht="13.2">
      <c r="A8" s="1136" t="s">
        <v>3331</v>
      </c>
      <c r="B8" s="1136" t="s">
        <v>2983</v>
      </c>
      <c r="C8" s="1137">
        <v>44863</v>
      </c>
      <c r="D8" s="1137">
        <v>44870</v>
      </c>
      <c r="E8" s="1136"/>
      <c r="F8" s="1136"/>
      <c r="G8" s="1139"/>
      <c r="H8" s="1136"/>
      <c r="I8" s="1136" t="s">
        <v>18</v>
      </c>
      <c r="J8" s="1136" t="s">
        <v>51</v>
      </c>
      <c r="K8" s="1136" t="s">
        <v>3332</v>
      </c>
      <c r="L8" s="1145"/>
      <c r="M8" s="1136"/>
      <c r="N8" s="1181" t="s">
        <v>3333</v>
      </c>
      <c r="O8" s="1221">
        <f>1090+3*3*7+70</f>
        <v>1223</v>
      </c>
      <c r="P8" s="1136"/>
      <c r="Q8" s="1136" t="s">
        <v>3334</v>
      </c>
      <c r="R8" s="1508">
        <v>1</v>
      </c>
      <c r="S8" s="1139">
        <v>4</v>
      </c>
      <c r="T8" s="1139">
        <v>3</v>
      </c>
      <c r="U8" s="1220"/>
      <c r="V8" s="1199">
        <v>44824</v>
      </c>
      <c r="W8" s="1136" t="s">
        <v>1477</v>
      </c>
      <c r="X8" s="1136" t="s">
        <v>1154</v>
      </c>
      <c r="Y8" s="1136"/>
      <c r="Z8" s="1136"/>
      <c r="AA8" s="1136"/>
      <c r="AD8" s="121" t="s">
        <v>3702</v>
      </c>
    </row>
    <row r="9" spans="1:30" s="392" customFormat="1">
      <c r="A9" s="689" t="s">
        <v>2652</v>
      </c>
      <c r="B9" s="689" t="s">
        <v>2653</v>
      </c>
      <c r="C9" s="690">
        <v>44121</v>
      </c>
      <c r="D9" s="690">
        <v>44128</v>
      </c>
      <c r="E9" s="689" t="s">
        <v>2654</v>
      </c>
      <c r="F9" s="689"/>
      <c r="G9" s="691" t="s">
        <v>2655</v>
      </c>
      <c r="H9" s="689" t="s">
        <v>2656</v>
      </c>
      <c r="I9" s="689" t="s">
        <v>18</v>
      </c>
      <c r="J9" s="689" t="s">
        <v>51</v>
      </c>
      <c r="K9" s="689"/>
      <c r="L9" s="693" t="s">
        <v>2657</v>
      </c>
      <c r="M9" s="689"/>
      <c r="N9" s="874" t="s">
        <v>2658</v>
      </c>
      <c r="O9" s="694"/>
      <c r="P9" s="689"/>
      <c r="Q9" s="689" t="s">
        <v>2752</v>
      </c>
      <c r="R9" s="1492">
        <v>0</v>
      </c>
      <c r="S9" s="691">
        <v>4</v>
      </c>
      <c r="T9" s="691">
        <v>1</v>
      </c>
      <c r="U9" s="753">
        <v>250</v>
      </c>
      <c r="V9" s="695">
        <v>44037</v>
      </c>
      <c r="W9" s="689" t="s">
        <v>1477</v>
      </c>
      <c r="X9" s="689" t="s">
        <v>1154</v>
      </c>
      <c r="Y9" s="689"/>
      <c r="Z9" s="689"/>
      <c r="AA9" s="689"/>
      <c r="AD9" s="850" t="s">
        <v>3132</v>
      </c>
    </row>
    <row r="10" spans="1:30" s="355" customFormat="1">
      <c r="A10" s="838" t="s">
        <v>2652</v>
      </c>
      <c r="B10" s="838" t="s">
        <v>2653</v>
      </c>
      <c r="C10" s="839">
        <v>44289</v>
      </c>
      <c r="D10" s="839">
        <v>44296</v>
      </c>
      <c r="E10" s="838" t="s">
        <v>2654</v>
      </c>
      <c r="F10" s="838"/>
      <c r="G10" s="840" t="s">
        <v>2655</v>
      </c>
      <c r="H10" s="838" t="s">
        <v>2656</v>
      </c>
      <c r="I10" s="838" t="s">
        <v>18</v>
      </c>
      <c r="J10" s="838" t="s">
        <v>51</v>
      </c>
      <c r="K10" s="838"/>
      <c r="L10" s="841" t="s">
        <v>2657</v>
      </c>
      <c r="M10" s="838"/>
      <c r="N10" s="861" t="s">
        <v>2658</v>
      </c>
      <c r="O10" s="842"/>
      <c r="P10" s="838"/>
      <c r="Q10" s="838" t="s">
        <v>2752</v>
      </c>
      <c r="R10" s="1494">
        <v>0</v>
      </c>
      <c r="S10" s="840">
        <v>4</v>
      </c>
      <c r="T10" s="840">
        <v>1</v>
      </c>
      <c r="U10" s="843">
        <v>250</v>
      </c>
      <c r="V10" s="844">
        <v>44037</v>
      </c>
      <c r="W10" s="838" t="s">
        <v>1477</v>
      </c>
      <c r="X10" s="838" t="s">
        <v>1154</v>
      </c>
      <c r="Y10" s="838" t="s">
        <v>2897</v>
      </c>
      <c r="Z10" s="838"/>
      <c r="AA10" s="838"/>
      <c r="AD10" s="128" t="s">
        <v>2949</v>
      </c>
    </row>
    <row r="11" spans="1:30" s="115" customFormat="1" ht="13.2">
      <c r="A11" s="1148" t="s">
        <v>1792</v>
      </c>
      <c r="B11" s="1148" t="s">
        <v>1793</v>
      </c>
      <c r="C11" s="1149">
        <v>44716</v>
      </c>
      <c r="D11" s="1149">
        <v>44730</v>
      </c>
      <c r="E11" s="1148" t="s">
        <v>2963</v>
      </c>
      <c r="F11" s="1148"/>
      <c r="G11" s="1150" t="s">
        <v>2964</v>
      </c>
      <c r="H11" s="1148" t="s">
        <v>2965</v>
      </c>
      <c r="I11" s="1148" t="s">
        <v>168</v>
      </c>
      <c r="J11" s="1148" t="s">
        <v>51</v>
      </c>
      <c r="K11" s="1148"/>
      <c r="L11" s="1148" t="s">
        <v>1797</v>
      </c>
      <c r="M11" s="1148"/>
      <c r="N11" s="1159" t="s">
        <v>1798</v>
      </c>
      <c r="O11" s="1152">
        <f>1390+1590+70+3*4*14</f>
        <v>3218</v>
      </c>
      <c r="P11" s="1148"/>
      <c r="Q11" s="1148" t="s">
        <v>1300</v>
      </c>
      <c r="R11" s="1501">
        <v>2</v>
      </c>
      <c r="S11" s="1150">
        <v>2</v>
      </c>
      <c r="T11" s="1150">
        <v>3</v>
      </c>
      <c r="U11" s="1413">
        <v>745</v>
      </c>
      <c r="V11" s="1155">
        <v>44375</v>
      </c>
      <c r="W11" s="1148" t="s">
        <v>2966</v>
      </c>
      <c r="X11" s="1148" t="s">
        <v>1154</v>
      </c>
      <c r="Y11" s="1148" t="s">
        <v>3228</v>
      </c>
      <c r="Z11" s="1148"/>
      <c r="AA11" s="1148"/>
      <c r="AD11" s="128" t="s">
        <v>2486</v>
      </c>
    </row>
    <row r="12" spans="1:30" s="115" customFormat="1" ht="13.2">
      <c r="A12" s="1447" t="s">
        <v>3483</v>
      </c>
      <c r="B12" s="1447" t="s">
        <v>682</v>
      </c>
      <c r="C12" s="1448">
        <v>45024</v>
      </c>
      <c r="D12" s="1448">
        <v>45031</v>
      </c>
      <c r="E12" s="1447" t="s">
        <v>3441</v>
      </c>
      <c r="F12" s="1447"/>
      <c r="G12" s="1449" t="s">
        <v>3442</v>
      </c>
      <c r="H12" s="1447" t="s">
        <v>2307</v>
      </c>
      <c r="I12" s="1447" t="s">
        <v>18</v>
      </c>
      <c r="J12" s="1447" t="s">
        <v>51</v>
      </c>
      <c r="K12" s="1447"/>
      <c r="L12" s="1450" t="s">
        <v>3443</v>
      </c>
      <c r="M12" s="1447"/>
      <c r="N12" s="1446" t="s">
        <v>3444</v>
      </c>
      <c r="O12" s="1451">
        <f>300+981</f>
        <v>1281</v>
      </c>
      <c r="P12" s="1447"/>
      <c r="Q12" s="1447" t="s">
        <v>1244</v>
      </c>
      <c r="R12" s="1510">
        <v>1</v>
      </c>
      <c r="S12" s="1449">
        <v>4</v>
      </c>
      <c r="T12" s="1449">
        <v>1</v>
      </c>
      <c r="U12" s="1452">
        <v>300</v>
      </c>
      <c r="V12" s="1453">
        <v>44962</v>
      </c>
      <c r="W12" s="1447" t="s">
        <v>1477</v>
      </c>
      <c r="X12" s="1447" t="s">
        <v>1154</v>
      </c>
      <c r="Y12" s="1447" t="s">
        <v>3445</v>
      </c>
      <c r="Z12" s="1447"/>
      <c r="AA12" s="1447"/>
      <c r="AD12" s="1458" t="s">
        <v>3462</v>
      </c>
    </row>
    <row r="13" spans="1:30" s="115" customFormat="1" ht="13.2">
      <c r="A13" s="440" t="s">
        <v>3193</v>
      </c>
      <c r="B13" s="440" t="s">
        <v>3194</v>
      </c>
      <c r="C13" s="441">
        <v>44849</v>
      </c>
      <c r="D13" s="441">
        <v>44856</v>
      </c>
      <c r="E13" s="1222" t="s">
        <v>3196</v>
      </c>
      <c r="F13" s="440"/>
      <c r="G13" s="442" t="s">
        <v>3197</v>
      </c>
      <c r="H13" s="440" t="s">
        <v>3198</v>
      </c>
      <c r="I13" s="440" t="s">
        <v>18</v>
      </c>
      <c r="J13" s="440" t="s">
        <v>51</v>
      </c>
      <c r="K13" s="440"/>
      <c r="L13" s="440" t="s">
        <v>3199</v>
      </c>
      <c r="M13" s="440"/>
      <c r="N13" s="443" t="s">
        <v>3200</v>
      </c>
      <c r="O13" s="444"/>
      <c r="P13" s="440"/>
      <c r="Q13" s="440" t="s">
        <v>3195</v>
      </c>
      <c r="R13" s="1507">
        <v>0</v>
      </c>
      <c r="S13" s="442">
        <v>3</v>
      </c>
      <c r="T13" s="442">
        <v>2</v>
      </c>
      <c r="U13" s="449"/>
      <c r="V13" s="445">
        <v>44640</v>
      </c>
      <c r="W13" s="440" t="s">
        <v>1477</v>
      </c>
      <c r="X13" s="440" t="s">
        <v>1154</v>
      </c>
      <c r="Y13" s="440"/>
      <c r="Z13" s="440"/>
      <c r="AA13" s="440"/>
      <c r="AD13" s="875" t="s">
        <v>2536</v>
      </c>
    </row>
    <row r="14" spans="1:30">
      <c r="A14" s="1148" t="s">
        <v>1653</v>
      </c>
      <c r="B14" s="1148" t="s">
        <v>264</v>
      </c>
      <c r="C14" s="1149">
        <v>44646</v>
      </c>
      <c r="D14" s="1149">
        <v>44660</v>
      </c>
      <c r="E14" s="1148" t="s">
        <v>1654</v>
      </c>
      <c r="F14" s="1148"/>
      <c r="G14" s="1150" t="s">
        <v>1655</v>
      </c>
      <c r="H14" s="1148" t="s">
        <v>937</v>
      </c>
      <c r="I14" s="1148" t="s">
        <v>18</v>
      </c>
      <c r="J14" s="1148" t="s">
        <v>51</v>
      </c>
      <c r="K14" s="1148" t="s">
        <v>1656</v>
      </c>
      <c r="L14" s="1148" t="s">
        <v>3040</v>
      </c>
      <c r="M14" s="1148"/>
      <c r="N14" s="1151" t="s">
        <v>1652</v>
      </c>
      <c r="O14" s="1152">
        <f>890*2</f>
        <v>1780</v>
      </c>
      <c r="P14" s="1148"/>
      <c r="Q14" s="1148" t="s">
        <v>717</v>
      </c>
      <c r="R14" s="1501">
        <v>2</v>
      </c>
      <c r="S14" s="1150">
        <v>2</v>
      </c>
      <c r="T14" s="1150">
        <v>2</v>
      </c>
      <c r="U14" s="1154">
        <v>445</v>
      </c>
      <c r="V14" s="1155">
        <v>44454</v>
      </c>
      <c r="W14" s="1148" t="s">
        <v>1519</v>
      </c>
      <c r="X14" s="1148" t="s">
        <v>1154</v>
      </c>
      <c r="Y14" s="1148"/>
      <c r="Z14" s="1148"/>
      <c r="AA14" s="1148"/>
      <c r="AD14" s="1151" t="s">
        <v>3071</v>
      </c>
    </row>
    <row r="15" spans="1:30" ht="13.8" thickBot="1">
      <c r="A15" s="115" t="s">
        <v>1653</v>
      </c>
      <c r="B15" s="115" t="s">
        <v>264</v>
      </c>
      <c r="C15" s="116">
        <v>45381</v>
      </c>
      <c r="D15" s="116">
        <v>45395</v>
      </c>
      <c r="E15" s="115" t="s">
        <v>1654</v>
      </c>
      <c r="F15" s="115"/>
      <c r="G15" s="361" t="s">
        <v>1655</v>
      </c>
      <c r="H15" s="115" t="s">
        <v>937</v>
      </c>
      <c r="I15" s="115" t="s">
        <v>18</v>
      </c>
      <c r="J15" s="115" t="s">
        <v>51</v>
      </c>
      <c r="K15" s="115" t="s">
        <v>1656</v>
      </c>
      <c r="L15" s="115" t="s">
        <v>3040</v>
      </c>
      <c r="M15" s="115"/>
      <c r="N15" s="121" t="s">
        <v>1652</v>
      </c>
      <c r="O15" s="118">
        <f>1190+1190+70</f>
        <v>2450</v>
      </c>
      <c r="P15" s="115"/>
      <c r="Q15" s="115" t="s">
        <v>3094</v>
      </c>
      <c r="R15" s="1486">
        <v>2</v>
      </c>
      <c r="S15" s="361">
        <v>4</v>
      </c>
      <c r="T15" s="361">
        <v>2</v>
      </c>
      <c r="U15" s="598" t="s">
        <v>3552</v>
      </c>
      <c r="V15" s="120">
        <v>45154</v>
      </c>
      <c r="W15" s="115" t="s">
        <v>1519</v>
      </c>
      <c r="X15" s="115" t="s">
        <v>1154</v>
      </c>
      <c r="Y15" s="115"/>
      <c r="Z15" s="115"/>
      <c r="AA15" s="115"/>
      <c r="AD15" s="401" t="s">
        <v>3311</v>
      </c>
    </row>
    <row r="16" spans="1:30" ht="13.8" thickBot="1">
      <c r="A16" s="1263" t="s">
        <v>2637</v>
      </c>
      <c r="B16" s="1756" t="s">
        <v>2644</v>
      </c>
      <c r="C16" s="690">
        <v>44114</v>
      </c>
      <c r="D16" s="1764">
        <v>44121</v>
      </c>
      <c r="E16" s="1756" t="s">
        <v>2638</v>
      </c>
      <c r="F16" s="689"/>
      <c r="G16" s="691" t="s">
        <v>2639</v>
      </c>
      <c r="H16" s="689" t="s">
        <v>2640</v>
      </c>
      <c r="I16" s="689" t="s">
        <v>18</v>
      </c>
      <c r="J16" s="689" t="s">
        <v>51</v>
      </c>
      <c r="K16" s="689"/>
      <c r="L16" s="693" t="s">
        <v>2641</v>
      </c>
      <c r="M16" s="689"/>
      <c r="N16" s="874" t="s">
        <v>2642</v>
      </c>
      <c r="O16" s="694">
        <v>0</v>
      </c>
      <c r="P16" s="689"/>
      <c r="Q16" s="689" t="s">
        <v>2706</v>
      </c>
      <c r="R16" s="1492">
        <v>0</v>
      </c>
      <c r="S16" s="691">
        <v>4</v>
      </c>
      <c r="T16" s="691">
        <v>1</v>
      </c>
      <c r="U16" s="697">
        <v>354</v>
      </c>
      <c r="V16" s="695">
        <v>44026</v>
      </c>
      <c r="W16" s="689" t="s">
        <v>1477</v>
      </c>
      <c r="X16" s="689" t="s">
        <v>1154</v>
      </c>
      <c r="Y16" s="689"/>
      <c r="Z16" s="689"/>
      <c r="AA16" s="689"/>
      <c r="AD16" s="1207" t="s">
        <v>3302</v>
      </c>
    </row>
    <row r="17" spans="1:30" ht="10.8" thickBot="1">
      <c r="A17" s="1752" t="s">
        <v>2637</v>
      </c>
      <c r="B17" s="1698" t="s">
        <v>2644</v>
      </c>
      <c r="C17" s="1759">
        <v>44478</v>
      </c>
      <c r="D17" s="1305">
        <v>44485</v>
      </c>
      <c r="E17" s="1329" t="s">
        <v>2638</v>
      </c>
      <c r="F17" s="1003"/>
      <c r="G17" s="1005" t="s">
        <v>2639</v>
      </c>
      <c r="H17" s="1003" t="s">
        <v>2640</v>
      </c>
      <c r="I17" s="1003" t="s">
        <v>18</v>
      </c>
      <c r="J17" s="1003" t="s">
        <v>51</v>
      </c>
      <c r="K17" s="1003"/>
      <c r="L17" s="1006" t="s">
        <v>2641</v>
      </c>
      <c r="M17" s="1003"/>
      <c r="N17" s="1007" t="s">
        <v>2642</v>
      </c>
      <c r="O17" s="1008">
        <v>354</v>
      </c>
      <c r="P17" s="1003"/>
      <c r="Q17" s="1003" t="s">
        <v>2706</v>
      </c>
      <c r="R17" s="1499">
        <v>1</v>
      </c>
      <c r="S17" s="1005">
        <v>4</v>
      </c>
      <c r="T17" s="1005">
        <v>1</v>
      </c>
      <c r="U17" s="1009">
        <v>354</v>
      </c>
      <c r="V17" s="1010">
        <v>44026</v>
      </c>
      <c r="W17" s="1003" t="s">
        <v>1477</v>
      </c>
      <c r="X17" s="1003" t="s">
        <v>1154</v>
      </c>
      <c r="Y17" s="1003"/>
      <c r="Z17" s="1003" t="s">
        <v>2937</v>
      </c>
      <c r="AA17" s="1003"/>
      <c r="AD17" s="128" t="s">
        <v>2315</v>
      </c>
    </row>
    <row r="18" spans="1:30" ht="10.8" thickBot="1">
      <c r="A18" s="355" t="s">
        <v>2340</v>
      </c>
      <c r="B18" s="355" t="s">
        <v>1938</v>
      </c>
      <c r="C18" s="357">
        <v>43680</v>
      </c>
      <c r="D18" s="565">
        <v>43694</v>
      </c>
      <c r="E18" s="576" t="s">
        <v>2341</v>
      </c>
      <c r="F18" s="355"/>
      <c r="G18" s="358"/>
      <c r="H18" s="934"/>
      <c r="I18" s="355" t="s">
        <v>18</v>
      </c>
      <c r="J18" s="355" t="s">
        <v>51</v>
      </c>
      <c r="K18" s="368"/>
      <c r="L18" s="368" t="s">
        <v>2342</v>
      </c>
      <c r="M18" s="355"/>
      <c r="N18" s="365" t="s">
        <v>2343</v>
      </c>
      <c r="O18" s="359">
        <v>3200</v>
      </c>
      <c r="P18" s="355"/>
      <c r="Q18" s="355"/>
      <c r="R18" s="1487">
        <v>2</v>
      </c>
      <c r="S18" s="358" t="s">
        <v>2344</v>
      </c>
      <c r="T18" s="358">
        <v>2</v>
      </c>
      <c r="U18" s="417">
        <v>0</v>
      </c>
      <c r="V18" s="360">
        <v>43671</v>
      </c>
      <c r="W18" s="355"/>
      <c r="X18" s="355"/>
      <c r="Y18" s="355"/>
      <c r="Z18" s="355"/>
      <c r="AA18" s="355"/>
      <c r="AD18" s="861" t="s">
        <v>2658</v>
      </c>
    </row>
    <row r="19" spans="1:30" ht="10.8" thickBot="1">
      <c r="A19" s="517" t="s">
        <v>2207</v>
      </c>
      <c r="B19" s="539" t="s">
        <v>2208</v>
      </c>
      <c r="C19" s="116">
        <v>43666</v>
      </c>
      <c r="D19" s="561">
        <v>43680</v>
      </c>
      <c r="E19" s="543" t="s">
        <v>2209</v>
      </c>
      <c r="F19" s="115"/>
      <c r="G19" s="361"/>
      <c r="H19" s="115"/>
      <c r="I19" s="115" t="s">
        <v>18</v>
      </c>
      <c r="J19" s="115" t="s">
        <v>51</v>
      </c>
      <c r="K19" s="115"/>
      <c r="L19" s="115" t="s">
        <v>2210</v>
      </c>
      <c r="M19" s="115"/>
      <c r="N19" s="128" t="s">
        <v>2211</v>
      </c>
      <c r="O19" s="118">
        <f>1990*2</f>
        <v>3980</v>
      </c>
      <c r="P19" s="115"/>
      <c r="Q19" s="115"/>
      <c r="R19" s="1486">
        <v>2</v>
      </c>
      <c r="S19" s="361" t="s">
        <v>2212</v>
      </c>
      <c r="T19" s="361">
        <v>1</v>
      </c>
      <c r="U19" s="598">
        <v>995</v>
      </c>
      <c r="V19" s="115">
        <v>43492</v>
      </c>
      <c r="W19" s="115" t="s">
        <v>1477</v>
      </c>
      <c r="X19" s="115" t="s">
        <v>1154</v>
      </c>
      <c r="Y19" s="115"/>
      <c r="Z19" s="115"/>
      <c r="AA19" s="115"/>
      <c r="AD19" s="1422" t="s">
        <v>3049</v>
      </c>
    </row>
    <row r="20" spans="1:30" ht="10.8" thickBot="1">
      <c r="A20" s="521" t="s">
        <v>2453</v>
      </c>
      <c r="B20" s="542" t="s">
        <v>1772</v>
      </c>
      <c r="C20" s="116">
        <v>44058</v>
      </c>
      <c r="D20" s="561">
        <v>44072</v>
      </c>
      <c r="E20" s="543" t="s">
        <v>2562</v>
      </c>
      <c r="F20" s="115"/>
      <c r="G20" s="361" t="s">
        <v>2560</v>
      </c>
      <c r="H20" s="115" t="s">
        <v>2561</v>
      </c>
      <c r="I20" s="115" t="s">
        <v>168</v>
      </c>
      <c r="J20" s="115" t="s">
        <v>51</v>
      </c>
      <c r="K20" s="115"/>
      <c r="L20" s="124" t="s">
        <v>2455</v>
      </c>
      <c r="M20" s="115"/>
      <c r="N20" s="128" t="s">
        <v>2454</v>
      </c>
      <c r="O20" s="118">
        <f>1990*2+70</f>
        <v>4050</v>
      </c>
      <c r="P20" s="115"/>
      <c r="Q20" s="115" t="s">
        <v>1500</v>
      </c>
      <c r="R20" s="1486">
        <v>2</v>
      </c>
      <c r="S20" s="361">
        <v>2</v>
      </c>
      <c r="T20" s="361">
        <v>1</v>
      </c>
      <c r="U20" s="129">
        <v>613</v>
      </c>
      <c r="V20" s="120">
        <v>43842</v>
      </c>
      <c r="W20" s="115" t="s">
        <v>1477</v>
      </c>
      <c r="X20" s="115" t="s">
        <v>1154</v>
      </c>
      <c r="Y20" s="115" t="s">
        <v>2563</v>
      </c>
      <c r="Z20" s="115"/>
      <c r="AA20" s="115"/>
      <c r="AD20" s="128" t="s">
        <v>2586</v>
      </c>
    </row>
    <row r="21" spans="1:30" ht="10.8" thickBot="1">
      <c r="A21" s="505" t="s">
        <v>2943</v>
      </c>
      <c r="B21" s="543" t="s">
        <v>2944</v>
      </c>
      <c r="C21" s="116">
        <v>44373</v>
      </c>
      <c r="D21" s="568">
        <v>44380</v>
      </c>
      <c r="E21" s="1768" t="s">
        <v>2945</v>
      </c>
      <c r="F21" s="115"/>
      <c r="G21" s="935" t="s">
        <v>2946</v>
      </c>
      <c r="H21" s="115" t="s">
        <v>2947</v>
      </c>
      <c r="I21" s="115" t="s">
        <v>18</v>
      </c>
      <c r="J21" s="115" t="s">
        <v>51</v>
      </c>
      <c r="K21" s="115"/>
      <c r="L21" s="935" t="s">
        <v>2948</v>
      </c>
      <c r="M21" s="115"/>
      <c r="N21" s="128" t="s">
        <v>2949</v>
      </c>
      <c r="O21" s="118">
        <v>1662</v>
      </c>
      <c r="P21" s="115"/>
      <c r="Q21" s="115" t="s">
        <v>2961</v>
      </c>
      <c r="R21" s="1486">
        <v>1</v>
      </c>
      <c r="S21" s="361">
        <v>2</v>
      </c>
      <c r="T21" s="361">
        <v>1</v>
      </c>
      <c r="U21" s="129">
        <v>415.5</v>
      </c>
      <c r="V21" s="120"/>
      <c r="W21" s="115" t="s">
        <v>1477</v>
      </c>
      <c r="X21" s="115" t="s">
        <v>1217</v>
      </c>
      <c r="Y21" s="115"/>
      <c r="Z21" s="115"/>
      <c r="AA21" s="115"/>
      <c r="AD21" s="128" t="s">
        <v>2211</v>
      </c>
    </row>
    <row r="22" spans="1:30" ht="13.2">
      <c r="A22" s="900" t="s">
        <v>3239</v>
      </c>
      <c r="B22" s="900" t="s">
        <v>511</v>
      </c>
      <c r="C22" s="901">
        <v>45171</v>
      </c>
      <c r="D22" s="901">
        <v>45178</v>
      </c>
      <c r="E22" s="900" t="s">
        <v>3240</v>
      </c>
      <c r="F22" s="900"/>
      <c r="G22" s="900" t="s">
        <v>1955</v>
      </c>
      <c r="H22" s="900" t="s">
        <v>3241</v>
      </c>
      <c r="I22" s="900" t="s">
        <v>18</v>
      </c>
      <c r="J22" s="900" t="s">
        <v>1023</v>
      </c>
      <c r="K22" s="900"/>
      <c r="L22" s="900" t="s">
        <v>3242</v>
      </c>
      <c r="M22" s="900"/>
      <c r="N22" s="1480" t="s">
        <v>3427</v>
      </c>
      <c r="O22" s="904">
        <v>500</v>
      </c>
      <c r="P22" s="900"/>
      <c r="Q22" s="900" t="s">
        <v>3243</v>
      </c>
      <c r="R22" s="1497">
        <v>0</v>
      </c>
      <c r="S22" s="902">
        <v>3</v>
      </c>
      <c r="T22" s="902"/>
      <c r="U22" s="1522">
        <v>500</v>
      </c>
      <c r="V22" s="907">
        <v>44696</v>
      </c>
      <c r="W22" s="900"/>
      <c r="X22" s="900" t="s">
        <v>1154</v>
      </c>
      <c r="Y22" s="900" t="s">
        <v>3261</v>
      </c>
      <c r="Z22" s="900" t="s">
        <v>3428</v>
      </c>
      <c r="AA22" s="900"/>
      <c r="AD22" s="1458" t="s">
        <v>3412</v>
      </c>
    </row>
    <row r="23" spans="1:30" ht="13.2">
      <c r="A23" s="820" t="s">
        <v>3239</v>
      </c>
      <c r="B23" s="820" t="s">
        <v>511</v>
      </c>
      <c r="C23" s="821">
        <v>45289</v>
      </c>
      <c r="D23" s="821">
        <v>45297</v>
      </c>
      <c r="E23" s="820" t="s">
        <v>3240</v>
      </c>
      <c r="F23" s="820"/>
      <c r="G23" s="820" t="s">
        <v>1955</v>
      </c>
      <c r="H23" s="820" t="s">
        <v>3241</v>
      </c>
      <c r="I23" s="820" t="s">
        <v>18</v>
      </c>
      <c r="J23" s="820" t="s">
        <v>1023</v>
      </c>
      <c r="K23" s="820"/>
      <c r="L23" s="820" t="s">
        <v>3242</v>
      </c>
      <c r="M23" s="820"/>
      <c r="N23" s="1458" t="s">
        <v>3427</v>
      </c>
      <c r="O23" s="1467">
        <v>1200</v>
      </c>
      <c r="P23" s="820"/>
      <c r="Q23" s="820" t="s">
        <v>3243</v>
      </c>
      <c r="R23" s="1512">
        <v>1</v>
      </c>
      <c r="S23" s="822">
        <v>3</v>
      </c>
      <c r="T23" s="822"/>
      <c r="U23" s="1468" t="s">
        <v>3748</v>
      </c>
      <c r="V23" s="825">
        <v>45238</v>
      </c>
      <c r="W23" s="820"/>
      <c r="X23" s="820" t="s">
        <v>1154</v>
      </c>
      <c r="Y23" s="820" t="s">
        <v>3261</v>
      </c>
      <c r="Z23" s="820" t="s">
        <v>3428</v>
      </c>
      <c r="AA23" s="820"/>
      <c r="AD23" s="903" t="s">
        <v>2741</v>
      </c>
    </row>
    <row r="24" spans="1:30" ht="13.2">
      <c r="A24" s="699" t="s">
        <v>2489</v>
      </c>
      <c r="B24" s="699" t="s">
        <v>2488</v>
      </c>
      <c r="C24" s="700">
        <v>43932</v>
      </c>
      <c r="D24" s="700">
        <v>43939</v>
      </c>
      <c r="E24" s="699" t="s">
        <v>2490</v>
      </c>
      <c r="F24" s="1113"/>
      <c r="G24" s="701" t="s">
        <v>2491</v>
      </c>
      <c r="H24" s="937" t="s">
        <v>2492</v>
      </c>
      <c r="I24" s="699" t="s">
        <v>18</v>
      </c>
      <c r="J24" s="699" t="s">
        <v>1023</v>
      </c>
      <c r="K24" s="699"/>
      <c r="L24" s="703" t="s">
        <v>2493</v>
      </c>
      <c r="M24" s="699"/>
      <c r="N24" s="875" t="s">
        <v>2494</v>
      </c>
      <c r="O24" s="699"/>
      <c r="P24" s="699" t="s">
        <v>1244</v>
      </c>
      <c r="Q24" s="704">
        <v>890</v>
      </c>
      <c r="R24" s="1489"/>
      <c r="S24" s="701">
        <v>4</v>
      </c>
      <c r="T24" s="701">
        <v>1</v>
      </c>
      <c r="U24" s="1414">
        <v>222.5</v>
      </c>
      <c r="V24" s="706">
        <v>43863</v>
      </c>
      <c r="W24" s="699" t="s">
        <v>1477</v>
      </c>
      <c r="X24" s="699" t="s">
        <v>1154</v>
      </c>
      <c r="Y24" s="699" t="s">
        <v>2559</v>
      </c>
      <c r="Z24" s="699"/>
      <c r="AA24" s="699"/>
      <c r="AD24" s="1159" t="s">
        <v>3165</v>
      </c>
    </row>
    <row r="25" spans="1:30" ht="13.2">
      <c r="A25" s="1148" t="s">
        <v>3160</v>
      </c>
      <c r="B25" s="1148" t="s">
        <v>2736</v>
      </c>
      <c r="C25" s="1149">
        <v>44807</v>
      </c>
      <c r="D25" s="1149">
        <v>44814</v>
      </c>
      <c r="E25" s="1148" t="s">
        <v>3161</v>
      </c>
      <c r="F25" s="1148"/>
      <c r="G25" s="1150" t="s">
        <v>3162</v>
      </c>
      <c r="H25" s="1148" t="s">
        <v>3163</v>
      </c>
      <c r="I25" s="1148" t="s">
        <v>168</v>
      </c>
      <c r="J25" s="1148" t="s">
        <v>51</v>
      </c>
      <c r="K25" s="1148"/>
      <c r="L25" s="1148" t="s">
        <v>3164</v>
      </c>
      <c r="M25" s="1148"/>
      <c r="N25" s="1159" t="s">
        <v>3165</v>
      </c>
      <c r="O25" s="1185">
        <f>398+1263</f>
        <v>1661</v>
      </c>
      <c r="P25" s="1148"/>
      <c r="Q25" s="1148" t="s">
        <v>717</v>
      </c>
      <c r="R25" s="1501">
        <v>1</v>
      </c>
      <c r="S25" s="1150">
        <v>2</v>
      </c>
      <c r="T25" s="1150">
        <v>2</v>
      </c>
      <c r="U25" s="1413">
        <v>398</v>
      </c>
      <c r="V25" s="1155">
        <v>44599</v>
      </c>
      <c r="W25" s="1148" t="s">
        <v>1338</v>
      </c>
      <c r="X25" s="1148" t="s">
        <v>1154</v>
      </c>
      <c r="Y25" s="1148"/>
      <c r="Z25" s="1148"/>
      <c r="AA25" s="1148"/>
      <c r="AD25" s="365" t="s">
        <v>2343</v>
      </c>
    </row>
    <row r="26" spans="1:30" ht="13.2">
      <c r="A26" s="115" t="s">
        <v>2672</v>
      </c>
      <c r="B26" s="115" t="s">
        <v>2671</v>
      </c>
      <c r="C26" s="116">
        <v>44093</v>
      </c>
      <c r="D26" s="116">
        <v>44107</v>
      </c>
      <c r="E26" s="115" t="s">
        <v>2667</v>
      </c>
      <c r="F26" s="115"/>
      <c r="G26" s="361" t="s">
        <v>2669</v>
      </c>
      <c r="H26" s="115" t="s">
        <v>2668</v>
      </c>
      <c r="I26" s="115" t="s">
        <v>18</v>
      </c>
      <c r="J26" s="115" t="s">
        <v>51</v>
      </c>
      <c r="K26" s="115"/>
      <c r="L26" s="124" t="s">
        <v>2670</v>
      </c>
      <c r="M26" s="115"/>
      <c r="N26" s="128" t="s">
        <v>2673</v>
      </c>
      <c r="O26" s="118">
        <f>1290*2</f>
        <v>2580</v>
      </c>
      <c r="P26" s="115"/>
      <c r="Q26" s="115" t="s">
        <v>2674</v>
      </c>
      <c r="R26" s="1486">
        <v>2</v>
      </c>
      <c r="S26" s="361">
        <v>2</v>
      </c>
      <c r="T26" s="361">
        <v>1</v>
      </c>
      <c r="U26" s="129">
        <v>645</v>
      </c>
      <c r="V26" s="120">
        <v>44039</v>
      </c>
      <c r="W26" s="115" t="s">
        <v>1477</v>
      </c>
      <c r="X26" s="115" t="s">
        <v>1154</v>
      </c>
      <c r="Y26" s="115"/>
      <c r="Z26" s="115"/>
      <c r="AA26" s="115"/>
      <c r="AD26" s="1181" t="s">
        <v>3086</v>
      </c>
    </row>
    <row r="27" spans="1:30" ht="13.2">
      <c r="A27" s="1447" t="s">
        <v>3473</v>
      </c>
      <c r="B27" s="1447" t="s">
        <v>3474</v>
      </c>
      <c r="C27" s="1448">
        <v>45031</v>
      </c>
      <c r="D27" s="1448">
        <v>45038</v>
      </c>
      <c r="E27" s="1447" t="s">
        <v>3475</v>
      </c>
      <c r="F27" s="1447"/>
      <c r="G27" s="1449" t="s">
        <v>3476</v>
      </c>
      <c r="H27" s="1447" t="s">
        <v>3477</v>
      </c>
      <c r="I27" s="1447" t="s">
        <v>18</v>
      </c>
      <c r="J27" s="1447" t="s">
        <v>51</v>
      </c>
      <c r="K27" s="1447"/>
      <c r="L27" s="1450" t="s">
        <v>3478</v>
      </c>
      <c r="M27" s="1447"/>
      <c r="N27" s="1446" t="s">
        <v>3479</v>
      </c>
      <c r="O27" s="1451">
        <v>1190</v>
      </c>
      <c r="P27" s="1447"/>
      <c r="Q27" s="1447" t="s">
        <v>717</v>
      </c>
      <c r="R27" s="1510">
        <v>1</v>
      </c>
      <c r="S27" s="1449">
        <v>2</v>
      </c>
      <c r="T27" s="1449">
        <v>2</v>
      </c>
      <c r="U27" s="1452">
        <v>297.5</v>
      </c>
      <c r="V27" s="1453">
        <v>45010</v>
      </c>
      <c r="W27" s="1447" t="s">
        <v>1665</v>
      </c>
      <c r="X27" s="1447" t="s">
        <v>1154</v>
      </c>
      <c r="Y27" s="1447" t="s">
        <v>3481</v>
      </c>
      <c r="Z27" s="1447"/>
      <c r="AA27" s="1447"/>
      <c r="AD27" s="128" t="s">
        <v>2378</v>
      </c>
    </row>
    <row r="28" spans="1:30" s="699" customFormat="1" ht="13.2">
      <c r="A28" s="820" t="s">
        <v>3374</v>
      </c>
      <c r="B28" s="820" t="s">
        <v>1772</v>
      </c>
      <c r="C28" s="821">
        <v>45122</v>
      </c>
      <c r="D28" s="821">
        <v>45136</v>
      </c>
      <c r="E28" s="820" t="s">
        <v>3375</v>
      </c>
      <c r="F28" s="820"/>
      <c r="G28" s="820" t="s">
        <v>3376</v>
      </c>
      <c r="H28" s="820" t="s">
        <v>3377</v>
      </c>
      <c r="I28" s="820" t="s">
        <v>18</v>
      </c>
      <c r="J28" s="820" t="s">
        <v>51</v>
      </c>
      <c r="K28" s="820" t="s">
        <v>3378</v>
      </c>
      <c r="L28" s="1466" t="s">
        <v>3413</v>
      </c>
      <c r="M28" s="820"/>
      <c r="N28" s="1458" t="s">
        <v>3379</v>
      </c>
      <c r="O28" s="1467">
        <f>2490*2</f>
        <v>4980</v>
      </c>
      <c r="P28" s="820"/>
      <c r="Q28" s="820" t="s">
        <v>3380</v>
      </c>
      <c r="R28" s="1512">
        <v>2</v>
      </c>
      <c r="S28" s="822">
        <v>6</v>
      </c>
      <c r="T28" s="822">
        <v>2</v>
      </c>
      <c r="U28" s="1777">
        <f>1245+1867.5</f>
        <v>3112.5</v>
      </c>
      <c r="V28" s="825">
        <v>44925</v>
      </c>
      <c r="W28" s="820" t="s">
        <v>1338</v>
      </c>
      <c r="X28" s="820" t="s">
        <v>1154</v>
      </c>
      <c r="Y28" s="820" t="s">
        <v>3398</v>
      </c>
      <c r="Z28" s="820"/>
      <c r="AA28" s="820"/>
      <c r="AD28" s="1480" t="s">
        <v>3357</v>
      </c>
    </row>
    <row r="29" spans="1:30" s="699" customFormat="1" ht="13.2">
      <c r="A29" s="1003" t="s">
        <v>2716</v>
      </c>
      <c r="B29" s="1003" t="s">
        <v>603</v>
      </c>
      <c r="C29" s="1004">
        <v>44555</v>
      </c>
      <c r="D29" s="1004">
        <v>44562</v>
      </c>
      <c r="E29" s="1118" t="s">
        <v>2717</v>
      </c>
      <c r="F29" s="1003"/>
      <c r="G29" s="1005" t="s">
        <v>2718</v>
      </c>
      <c r="H29" s="1003" t="s">
        <v>2721</v>
      </c>
      <c r="I29" s="1003" t="s">
        <v>18</v>
      </c>
      <c r="J29" s="1003" t="s">
        <v>51</v>
      </c>
      <c r="K29" s="1003"/>
      <c r="L29" s="1006" t="s">
        <v>2719</v>
      </c>
      <c r="M29" s="1003"/>
      <c r="N29" s="1007" t="s">
        <v>2720</v>
      </c>
      <c r="O29" s="1008">
        <v>1190</v>
      </c>
      <c r="P29" s="1003"/>
      <c r="Q29" s="1003" t="s">
        <v>3096</v>
      </c>
      <c r="R29" s="1499">
        <v>1</v>
      </c>
      <c r="S29" s="1005">
        <v>2</v>
      </c>
      <c r="T29" s="1005">
        <v>1</v>
      </c>
      <c r="U29" s="1778">
        <v>250</v>
      </c>
      <c r="V29" s="1010">
        <v>44186</v>
      </c>
      <c r="W29" s="1003" t="s">
        <v>1477</v>
      </c>
      <c r="X29" s="1003" t="s">
        <v>1154</v>
      </c>
      <c r="Y29" s="1003"/>
      <c r="Z29" s="1003"/>
      <c r="AA29" s="1003"/>
      <c r="AD29" s="401" t="s">
        <v>3270</v>
      </c>
    </row>
    <row r="30" spans="1:30" ht="13.2">
      <c r="A30" s="1003" t="s">
        <v>2716</v>
      </c>
      <c r="B30" s="1003" t="s">
        <v>603</v>
      </c>
      <c r="C30" s="1004">
        <v>45289</v>
      </c>
      <c r="D30" s="1004">
        <v>45297</v>
      </c>
      <c r="E30" s="1118" t="s">
        <v>2717</v>
      </c>
      <c r="F30" s="1003"/>
      <c r="G30" s="1005" t="s">
        <v>2718</v>
      </c>
      <c r="H30" s="1003" t="s">
        <v>2721</v>
      </c>
      <c r="I30" s="1003" t="s">
        <v>18</v>
      </c>
      <c r="J30" s="1003" t="s">
        <v>51</v>
      </c>
      <c r="K30" s="1003"/>
      <c r="L30" s="1006" t="s">
        <v>2719</v>
      </c>
      <c r="M30" s="1003"/>
      <c r="N30" s="1429" t="s">
        <v>3628</v>
      </c>
      <c r="O30" s="1003"/>
      <c r="P30" s="1003"/>
      <c r="Q30" s="115" t="s">
        <v>2674</v>
      </c>
      <c r="R30" s="1499">
        <v>0</v>
      </c>
      <c r="S30" s="1005">
        <v>2</v>
      </c>
      <c r="T30" s="1005">
        <v>1</v>
      </c>
      <c r="U30" s="1778"/>
      <c r="V30" s="1010">
        <v>44186</v>
      </c>
      <c r="W30" s="1003" t="s">
        <v>1477</v>
      </c>
      <c r="X30" s="1003" t="s">
        <v>1154</v>
      </c>
      <c r="Y30" s="1003" t="s">
        <v>3554</v>
      </c>
      <c r="Z30" s="1003"/>
      <c r="AA30" s="1003"/>
      <c r="AD30" s="401" t="s">
        <v>3544</v>
      </c>
    </row>
    <row r="31" spans="1:30" s="699" customFormat="1" ht="13.2">
      <c r="A31" s="115" t="s">
        <v>3697</v>
      </c>
      <c r="B31" s="115" t="s">
        <v>3801</v>
      </c>
      <c r="C31" s="116">
        <v>45486</v>
      </c>
      <c r="D31" s="116">
        <v>45500</v>
      </c>
      <c r="E31" s="935" t="s">
        <v>3698</v>
      </c>
      <c r="F31" s="115"/>
      <c r="G31" s="935" t="s">
        <v>3699</v>
      </c>
      <c r="H31" s="115" t="s">
        <v>3700</v>
      </c>
      <c r="I31" s="115" t="s">
        <v>18</v>
      </c>
      <c r="J31" s="115" t="s">
        <v>51</v>
      </c>
      <c r="K31" s="115"/>
      <c r="L31" s="935" t="s">
        <v>3701</v>
      </c>
      <c r="M31" s="115"/>
      <c r="N31" s="121" t="s">
        <v>3702</v>
      </c>
      <c r="O31" s="118">
        <f>2490*2</f>
        <v>4980</v>
      </c>
      <c r="P31" s="115"/>
      <c r="Q31" s="115" t="s">
        <v>3703</v>
      </c>
      <c r="R31" s="1486">
        <v>2</v>
      </c>
      <c r="S31" s="361">
        <v>4</v>
      </c>
      <c r="T31" s="361">
        <v>1</v>
      </c>
      <c r="U31" s="129" t="s">
        <v>3810</v>
      </c>
      <c r="V31" s="120">
        <v>45262</v>
      </c>
      <c r="W31" s="115" t="s">
        <v>1477</v>
      </c>
      <c r="X31" s="115" t="s">
        <v>1154</v>
      </c>
      <c r="Y31" s="115"/>
      <c r="Z31" s="115"/>
      <c r="AA31" s="115"/>
      <c r="AD31" s="128" t="s">
        <v>2371</v>
      </c>
    </row>
    <row r="32" spans="1:30" s="115" customFormat="1" ht="13.2">
      <c r="A32" s="355" t="s">
        <v>2347</v>
      </c>
      <c r="B32" s="355" t="s">
        <v>2348</v>
      </c>
      <c r="C32" s="357">
        <v>43736</v>
      </c>
      <c r="D32" s="357">
        <v>43750</v>
      </c>
      <c r="E32" s="355" t="s">
        <v>2349</v>
      </c>
      <c r="F32" s="367"/>
      <c r="G32" s="358"/>
      <c r="H32" s="934"/>
      <c r="I32" s="355" t="s">
        <v>18</v>
      </c>
      <c r="J32" s="355" t="s">
        <v>51</v>
      </c>
      <c r="K32" s="368" t="s">
        <v>2351</v>
      </c>
      <c r="L32" s="368" t="s">
        <v>2350</v>
      </c>
      <c r="M32" s="355"/>
      <c r="N32" s="365" t="s">
        <v>2352</v>
      </c>
      <c r="O32" s="359">
        <f>990+890</f>
        <v>1880</v>
      </c>
      <c r="P32" s="355"/>
      <c r="Q32" s="355"/>
      <c r="R32" s="1487">
        <v>2</v>
      </c>
      <c r="S32" s="358">
        <v>2</v>
      </c>
      <c r="T32" s="358">
        <v>1</v>
      </c>
      <c r="U32" s="356" t="s">
        <v>2353</v>
      </c>
      <c r="V32" s="360">
        <v>43681</v>
      </c>
      <c r="W32" s="355" t="s">
        <v>1477</v>
      </c>
      <c r="X32" s="355" t="s">
        <v>1154</v>
      </c>
      <c r="Y32" s="355"/>
      <c r="Z32" s="355"/>
      <c r="AA32" s="355"/>
      <c r="AD32" s="1458" t="s">
        <v>3379</v>
      </c>
    </row>
    <row r="33" spans="1:30" s="498" customFormat="1" ht="13.2">
      <c r="A33" s="1160" t="s">
        <v>3174</v>
      </c>
      <c r="B33" s="1160" t="s">
        <v>3175</v>
      </c>
      <c r="C33" s="1161">
        <v>44744</v>
      </c>
      <c r="D33" s="1161">
        <v>44758</v>
      </c>
      <c r="E33" s="1160" t="s">
        <v>3176</v>
      </c>
      <c r="F33" s="1160"/>
      <c r="G33" s="1162" t="s">
        <v>3177</v>
      </c>
      <c r="H33" s="1160" t="s">
        <v>3178</v>
      </c>
      <c r="I33" s="1160" t="s">
        <v>18</v>
      </c>
      <c r="J33" s="1160" t="s">
        <v>51</v>
      </c>
      <c r="K33" s="1160"/>
      <c r="L33" s="1163" t="s">
        <v>3179</v>
      </c>
      <c r="M33" s="1160"/>
      <c r="N33" s="1159" t="s">
        <v>3180</v>
      </c>
      <c r="O33" s="1165">
        <f>1990*2+70</f>
        <v>4050</v>
      </c>
      <c r="P33" s="1160"/>
      <c r="Q33" s="1160" t="s">
        <v>2674</v>
      </c>
      <c r="R33" s="1502">
        <v>2</v>
      </c>
      <c r="S33" s="1162">
        <v>2</v>
      </c>
      <c r="T33" s="1162">
        <v>1</v>
      </c>
      <c r="U33" s="1166">
        <v>1000</v>
      </c>
      <c r="V33" s="1167">
        <v>44608</v>
      </c>
      <c r="W33" s="1160" t="s">
        <v>1477</v>
      </c>
      <c r="X33" s="1160" t="s">
        <v>1154</v>
      </c>
      <c r="Y33" s="1160"/>
      <c r="Z33" s="1160"/>
      <c r="AA33" s="1160"/>
      <c r="AD33" s="121" t="s">
        <v>3207</v>
      </c>
    </row>
    <row r="34" spans="1:30" ht="13.2">
      <c r="A34" s="355" t="s">
        <v>3265</v>
      </c>
      <c r="B34" s="355" t="s">
        <v>3264</v>
      </c>
      <c r="C34" s="357">
        <v>45087</v>
      </c>
      <c r="D34" s="357">
        <v>45101</v>
      </c>
      <c r="E34" s="934" t="s">
        <v>3266</v>
      </c>
      <c r="F34" s="355"/>
      <c r="G34" s="934" t="s">
        <v>3267</v>
      </c>
      <c r="H34" s="355" t="s">
        <v>3268</v>
      </c>
      <c r="I34" s="355" t="s">
        <v>18</v>
      </c>
      <c r="J34" s="355" t="s">
        <v>51</v>
      </c>
      <c r="K34" s="355"/>
      <c r="L34" s="934" t="s">
        <v>3269</v>
      </c>
      <c r="M34" s="355"/>
      <c r="N34" s="401" t="s">
        <v>3270</v>
      </c>
      <c r="O34" s="359">
        <f>1590+1990</f>
        <v>3580</v>
      </c>
      <c r="P34" s="355"/>
      <c r="Q34" s="355" t="s">
        <v>3271</v>
      </c>
      <c r="R34" s="1487">
        <v>2</v>
      </c>
      <c r="S34" s="358">
        <v>3</v>
      </c>
      <c r="T34" s="358">
        <v>1</v>
      </c>
      <c r="U34" s="1461">
        <v>895</v>
      </c>
      <c r="V34" s="360">
        <v>45093</v>
      </c>
      <c r="W34" s="355"/>
      <c r="X34" s="355" t="s">
        <v>1154</v>
      </c>
      <c r="Y34" s="355" t="s">
        <v>3272</v>
      </c>
      <c r="Z34" s="355"/>
      <c r="AA34" s="355"/>
      <c r="AD34" s="1159" t="s">
        <v>3180</v>
      </c>
    </row>
    <row r="35" spans="1:30" s="115" customFormat="1">
      <c r="A35" s="115" t="s">
        <v>2319</v>
      </c>
      <c r="B35" s="115" t="s">
        <v>2320</v>
      </c>
      <c r="C35" s="116">
        <v>43719</v>
      </c>
      <c r="D35" s="116">
        <v>43736</v>
      </c>
      <c r="E35" s="115" t="s">
        <v>2321</v>
      </c>
      <c r="G35" s="361" t="s">
        <v>2322</v>
      </c>
      <c r="H35" s="115" t="s">
        <v>2323</v>
      </c>
      <c r="I35" s="115" t="s">
        <v>18</v>
      </c>
      <c r="J35" s="115" t="s">
        <v>51</v>
      </c>
      <c r="K35" s="124" t="s">
        <v>2325</v>
      </c>
      <c r="L35" s="124" t="s">
        <v>2324</v>
      </c>
      <c r="N35" s="363" t="s">
        <v>2326</v>
      </c>
      <c r="O35" s="118">
        <v>2980</v>
      </c>
      <c r="R35" s="1486">
        <v>2.5</v>
      </c>
      <c r="S35" s="361">
        <v>2</v>
      </c>
      <c r="T35" s="361">
        <v>2</v>
      </c>
      <c r="U35" s="129"/>
      <c r="V35" s="120"/>
      <c r="AD35" s="1151" t="s">
        <v>3001</v>
      </c>
    </row>
    <row r="36" spans="1:30" s="115" customFormat="1" ht="13.2">
      <c r="A36" s="440" t="s">
        <v>3964</v>
      </c>
      <c r="B36" s="440" t="s">
        <v>3965</v>
      </c>
      <c r="C36" s="441">
        <v>45549</v>
      </c>
      <c r="D36" s="441">
        <v>45556</v>
      </c>
      <c r="E36" s="440" t="s">
        <v>3966</v>
      </c>
      <c r="F36" s="440"/>
      <c r="G36" s="442" t="s">
        <v>3967</v>
      </c>
      <c r="H36" s="440" t="s">
        <v>3968</v>
      </c>
      <c r="I36" s="440" t="s">
        <v>18</v>
      </c>
      <c r="J36" s="440" t="s">
        <v>51</v>
      </c>
      <c r="K36" s="440"/>
      <c r="L36" s="440" t="s">
        <v>3969</v>
      </c>
      <c r="M36" s="440"/>
      <c r="N36" s="443" t="s">
        <v>3970</v>
      </c>
      <c r="O36" s="444">
        <v>1590</v>
      </c>
      <c r="P36" s="440"/>
      <c r="Q36" s="440" t="s">
        <v>1321</v>
      </c>
      <c r="R36" s="1507">
        <v>1</v>
      </c>
      <c r="S36" s="442">
        <v>2</v>
      </c>
      <c r="T36" s="442">
        <v>3</v>
      </c>
      <c r="U36" s="616"/>
      <c r="V36" s="445">
        <v>45386</v>
      </c>
      <c r="W36" s="440"/>
      <c r="X36" s="440" t="s">
        <v>3971</v>
      </c>
      <c r="Y36" s="440"/>
      <c r="Z36" s="440"/>
      <c r="AA36" s="440"/>
      <c r="AD36" s="401" t="s">
        <v>3186</v>
      </c>
    </row>
    <row r="37" spans="1:30" s="757" customFormat="1">
      <c r="A37" s="115" t="s">
        <v>3659</v>
      </c>
      <c r="B37" s="115" t="s">
        <v>3474</v>
      </c>
      <c r="C37" s="116">
        <v>45500</v>
      </c>
      <c r="D37" s="116">
        <v>45514</v>
      </c>
      <c r="E37" s="935" t="s">
        <v>3661</v>
      </c>
      <c r="F37" s="115"/>
      <c r="G37" s="935" t="s">
        <v>3662</v>
      </c>
      <c r="H37" s="115" t="s">
        <v>3663</v>
      </c>
      <c r="I37" s="115" t="s">
        <v>18</v>
      </c>
      <c r="J37" s="115" t="s">
        <v>51</v>
      </c>
      <c r="K37" s="115"/>
      <c r="L37" s="935" t="s">
        <v>3660</v>
      </c>
      <c r="M37" s="115"/>
      <c r="N37" s="128" t="s">
        <v>3658</v>
      </c>
      <c r="O37" s="118">
        <f>2490*2</f>
        <v>4980</v>
      </c>
      <c r="P37" s="115"/>
      <c r="Q37" s="115" t="s">
        <v>1361</v>
      </c>
      <c r="R37" s="1486">
        <v>2</v>
      </c>
      <c r="S37" s="361">
        <v>5</v>
      </c>
      <c r="T37" s="361">
        <v>1</v>
      </c>
      <c r="U37" s="129" t="s">
        <v>3664</v>
      </c>
      <c r="V37" s="120">
        <v>45243</v>
      </c>
      <c r="W37" s="115" t="s">
        <v>1477</v>
      </c>
      <c r="X37" s="115" t="s">
        <v>1154</v>
      </c>
      <c r="Y37" s="115"/>
      <c r="Z37" s="115"/>
      <c r="AA37" s="115"/>
      <c r="AD37" s="365" t="s">
        <v>2839</v>
      </c>
    </row>
    <row r="38" spans="1:30" s="115" customFormat="1" ht="13.2">
      <c r="A38" s="923" t="s">
        <v>2760</v>
      </c>
      <c r="B38" s="923" t="s">
        <v>2761</v>
      </c>
      <c r="C38" s="924">
        <v>44359</v>
      </c>
      <c r="D38" s="924">
        <v>44373</v>
      </c>
      <c r="E38" s="923" t="s">
        <v>2762</v>
      </c>
      <c r="F38" s="923"/>
      <c r="G38" s="925"/>
      <c r="H38" s="923"/>
      <c r="I38" s="923" t="s">
        <v>18</v>
      </c>
      <c r="J38" s="923" t="s">
        <v>51</v>
      </c>
      <c r="K38" s="923"/>
      <c r="L38" s="926" t="s">
        <v>2763</v>
      </c>
      <c r="M38" s="923"/>
      <c r="N38" s="128" t="s">
        <v>2764</v>
      </c>
      <c r="O38" s="927">
        <f>1190+1590</f>
        <v>2780</v>
      </c>
      <c r="P38" s="923"/>
      <c r="Q38" s="923" t="s">
        <v>2674</v>
      </c>
      <c r="R38" s="1496">
        <v>2</v>
      </c>
      <c r="S38" s="925">
        <v>2</v>
      </c>
      <c r="T38" s="925">
        <v>1</v>
      </c>
      <c r="U38" s="928">
        <v>695</v>
      </c>
      <c r="V38" s="929">
        <v>44126</v>
      </c>
      <c r="W38" s="923" t="s">
        <v>1477</v>
      </c>
      <c r="X38" s="923" t="s">
        <v>1154</v>
      </c>
      <c r="Y38" s="923"/>
      <c r="Z38" s="923"/>
      <c r="AA38" s="923"/>
      <c r="AD38" s="121" t="s">
        <v>3871</v>
      </c>
    </row>
    <row r="39" spans="1:30" s="115" customFormat="1">
      <c r="A39" s="115" t="s">
        <v>2676</v>
      </c>
      <c r="B39" s="115" t="s">
        <v>2677</v>
      </c>
      <c r="C39" s="116">
        <v>44485</v>
      </c>
      <c r="D39" s="116">
        <v>44492</v>
      </c>
      <c r="E39" s="115" t="s">
        <v>2678</v>
      </c>
      <c r="G39" s="361" t="s">
        <v>2679</v>
      </c>
      <c r="H39" s="115" t="s">
        <v>2680</v>
      </c>
      <c r="I39" s="115" t="s">
        <v>18</v>
      </c>
      <c r="J39" s="115" t="s">
        <v>51</v>
      </c>
      <c r="K39" s="115" t="s">
        <v>2681</v>
      </c>
      <c r="L39" s="124" t="s">
        <v>2682</v>
      </c>
      <c r="N39" s="128" t="s">
        <v>2683</v>
      </c>
      <c r="O39" s="118">
        <v>990</v>
      </c>
      <c r="Q39" s="115" t="s">
        <v>2684</v>
      </c>
      <c r="R39" s="1486">
        <v>1</v>
      </c>
      <c r="S39" s="361">
        <v>4</v>
      </c>
      <c r="T39" s="361">
        <v>1</v>
      </c>
      <c r="U39" s="129">
        <v>250</v>
      </c>
      <c r="V39" s="120">
        <v>44073</v>
      </c>
      <c r="X39" s="115" t="s">
        <v>1154</v>
      </c>
      <c r="AD39" s="875" t="s">
        <v>2494</v>
      </c>
    </row>
    <row r="40" spans="1:30" s="115" customFormat="1" ht="13.2">
      <c r="A40" s="115" t="s">
        <v>2676</v>
      </c>
      <c r="B40" s="115" t="s">
        <v>2677</v>
      </c>
      <c r="C40" s="116">
        <v>44856</v>
      </c>
      <c r="D40" s="116">
        <v>44863</v>
      </c>
      <c r="E40" s="115" t="s">
        <v>2678</v>
      </c>
      <c r="G40" s="361" t="s">
        <v>2679</v>
      </c>
      <c r="H40" s="115" t="s">
        <v>2680</v>
      </c>
      <c r="I40" s="115" t="s">
        <v>18</v>
      </c>
      <c r="J40" s="115" t="s">
        <v>51</v>
      </c>
      <c r="K40" s="115" t="s">
        <v>2681</v>
      </c>
      <c r="L40" s="124" t="s">
        <v>2682</v>
      </c>
      <c r="N40" s="128" t="s">
        <v>2683</v>
      </c>
      <c r="O40" s="118">
        <f>1090+70+21</f>
        <v>1181</v>
      </c>
      <c r="Q40" s="115" t="s">
        <v>3095</v>
      </c>
      <c r="R40" s="1486">
        <v>1</v>
      </c>
      <c r="S40" s="361">
        <v>4</v>
      </c>
      <c r="T40" s="361">
        <v>1</v>
      </c>
      <c r="U40" s="129">
        <v>280</v>
      </c>
      <c r="V40" s="120">
        <v>44522</v>
      </c>
      <c r="W40" s="115" t="s">
        <v>3015</v>
      </c>
      <c r="X40" s="115" t="s">
        <v>1154</v>
      </c>
      <c r="AD40" s="401" t="s">
        <v>3446</v>
      </c>
    </row>
    <row r="41" spans="1:30" s="115" customFormat="1" ht="14.4">
      <c r="A41" s="820" t="s">
        <v>3601</v>
      </c>
      <c r="B41" s="820" t="s">
        <v>3589</v>
      </c>
      <c r="C41" s="821">
        <v>45199</v>
      </c>
      <c r="D41" s="821">
        <v>45220</v>
      </c>
      <c r="E41" s="1517" t="s">
        <v>3341</v>
      </c>
      <c r="F41" s="820"/>
      <c r="G41" s="822" t="s">
        <v>3344</v>
      </c>
      <c r="H41" s="1517" t="s">
        <v>3343</v>
      </c>
      <c r="I41" s="820" t="s">
        <v>168</v>
      </c>
      <c r="J41" s="820" t="s">
        <v>1023</v>
      </c>
      <c r="K41" s="820"/>
      <c r="L41" s="1483" t="s">
        <v>3345</v>
      </c>
      <c r="M41" s="820"/>
      <c r="N41" s="1458" t="s">
        <v>3342</v>
      </c>
      <c r="O41" s="1026">
        <f>1290*3+70+21*3</f>
        <v>4003</v>
      </c>
      <c r="P41" s="820"/>
      <c r="Q41" s="820" t="s">
        <v>3338</v>
      </c>
      <c r="R41" s="1512">
        <v>3</v>
      </c>
      <c r="S41" s="822">
        <v>2</v>
      </c>
      <c r="T41" s="822">
        <v>1</v>
      </c>
      <c r="U41" s="1459">
        <v>1000</v>
      </c>
      <c r="V41" s="825">
        <v>44844</v>
      </c>
      <c r="W41" s="820" t="s">
        <v>3347</v>
      </c>
      <c r="X41" s="820" t="s">
        <v>1154</v>
      </c>
      <c r="Y41" s="820" t="s">
        <v>3348</v>
      </c>
      <c r="Z41" s="820"/>
      <c r="AA41" s="820"/>
      <c r="AD41" s="128" t="s">
        <v>2683</v>
      </c>
    </row>
    <row r="42" spans="1:30" s="115" customFormat="1" ht="14.4">
      <c r="A42" s="115" t="s">
        <v>3601</v>
      </c>
      <c r="B42" s="115" t="s">
        <v>3589</v>
      </c>
      <c r="C42" s="116">
        <v>45563</v>
      </c>
      <c r="D42" s="116">
        <v>45577</v>
      </c>
      <c r="E42" s="1223" t="s">
        <v>3341</v>
      </c>
      <c r="G42" s="361" t="s">
        <v>3344</v>
      </c>
      <c r="H42" s="1223" t="s">
        <v>3343</v>
      </c>
      <c r="I42" s="115" t="s">
        <v>168</v>
      </c>
      <c r="J42" s="115" t="s">
        <v>1023</v>
      </c>
      <c r="L42" s="124" t="s">
        <v>3345</v>
      </c>
      <c r="N42" s="121" t="s">
        <v>3342</v>
      </c>
      <c r="O42" s="1027">
        <f>1290*2</f>
        <v>2580</v>
      </c>
      <c r="Q42" s="115" t="s">
        <v>3338</v>
      </c>
      <c r="R42" s="1486">
        <v>2</v>
      </c>
      <c r="S42" s="361">
        <v>2</v>
      </c>
      <c r="T42" s="361">
        <v>1</v>
      </c>
      <c r="U42" s="129">
        <v>1000</v>
      </c>
      <c r="V42" s="120">
        <v>45225</v>
      </c>
      <c r="W42" s="115" t="s">
        <v>3631</v>
      </c>
      <c r="X42" s="115" t="s">
        <v>1154</v>
      </c>
      <c r="Y42" s="115" t="s">
        <v>3651</v>
      </c>
      <c r="AD42" s="1151" t="s">
        <v>2974</v>
      </c>
    </row>
    <row r="43" spans="1:30" s="115" customFormat="1" ht="13.2">
      <c r="A43" s="115" t="s">
        <v>3201</v>
      </c>
      <c r="B43" s="115" t="s">
        <v>3202</v>
      </c>
      <c r="C43" s="116">
        <v>44918</v>
      </c>
      <c r="D43" s="116">
        <v>44931</v>
      </c>
      <c r="E43" s="115" t="s">
        <v>3203</v>
      </c>
      <c r="G43" s="361" t="s">
        <v>3204</v>
      </c>
      <c r="H43" s="115" t="s">
        <v>3205</v>
      </c>
      <c r="I43" s="115" t="s">
        <v>18</v>
      </c>
      <c r="J43" s="115" t="s">
        <v>51</v>
      </c>
      <c r="L43" s="124" t="s">
        <v>3206</v>
      </c>
      <c r="N43" s="121" t="s">
        <v>3207</v>
      </c>
      <c r="O43" s="118">
        <f>1290*2+70</f>
        <v>2650</v>
      </c>
      <c r="Q43" s="115" t="s">
        <v>2674</v>
      </c>
      <c r="R43" s="1486">
        <v>2</v>
      </c>
      <c r="S43" s="361">
        <v>2</v>
      </c>
      <c r="T43" s="361">
        <v>1</v>
      </c>
      <c r="U43" s="129">
        <v>645</v>
      </c>
      <c r="V43" s="120">
        <v>44660</v>
      </c>
      <c r="W43" s="115" t="s">
        <v>1477</v>
      </c>
      <c r="X43" s="115" t="s">
        <v>1154</v>
      </c>
      <c r="AD43" s="1159" t="s">
        <v>1798</v>
      </c>
    </row>
    <row r="44" spans="1:30" ht="13.2">
      <c r="A44" s="820" t="s">
        <v>3461</v>
      </c>
      <c r="B44" s="820" t="s">
        <v>3563</v>
      </c>
      <c r="C44" s="821">
        <v>45157</v>
      </c>
      <c r="D44" s="821">
        <v>45164</v>
      </c>
      <c r="E44" s="1479" t="s">
        <v>3463</v>
      </c>
      <c r="F44" s="820"/>
      <c r="G44" s="820" t="s">
        <v>3464</v>
      </c>
      <c r="H44" s="820" t="s">
        <v>3465</v>
      </c>
      <c r="I44" s="820" t="s">
        <v>18</v>
      </c>
      <c r="J44" s="820" t="s">
        <v>51</v>
      </c>
      <c r="K44" s="820"/>
      <c r="L44" s="1479" t="s">
        <v>3466</v>
      </c>
      <c r="M44" s="820"/>
      <c r="N44" s="1458" t="s">
        <v>3462</v>
      </c>
      <c r="O44" s="1467">
        <v>2490</v>
      </c>
      <c r="P44" s="820"/>
      <c r="Q44" s="820" t="s">
        <v>3467</v>
      </c>
      <c r="R44" s="1512">
        <v>1</v>
      </c>
      <c r="S44" s="822" t="s">
        <v>317</v>
      </c>
      <c r="T44" s="822">
        <v>1</v>
      </c>
      <c r="U44" s="1468">
        <v>650</v>
      </c>
      <c r="V44" s="825">
        <v>44999</v>
      </c>
      <c r="W44" s="820" t="s">
        <v>1338</v>
      </c>
      <c r="X44" s="820" t="s">
        <v>1154</v>
      </c>
      <c r="Y44" s="820" t="s">
        <v>3480</v>
      </c>
      <c r="Z44" s="820"/>
      <c r="AA44" s="820"/>
      <c r="AD44" s="121" t="s">
        <v>3849</v>
      </c>
    </row>
    <row r="45" spans="1:30" s="689" customFormat="1" ht="13.2">
      <c r="A45" s="1148" t="s">
        <v>2968</v>
      </c>
      <c r="B45" s="1148" t="s">
        <v>2969</v>
      </c>
      <c r="C45" s="1149">
        <v>44688</v>
      </c>
      <c r="D45" s="1149">
        <v>44695</v>
      </c>
      <c r="E45" s="1148" t="s">
        <v>2970</v>
      </c>
      <c r="F45" s="1148"/>
      <c r="G45" s="1150" t="s">
        <v>2971</v>
      </c>
      <c r="H45" s="1148" t="s">
        <v>2972</v>
      </c>
      <c r="I45" s="1148" t="s">
        <v>18</v>
      </c>
      <c r="J45" s="1148" t="s">
        <v>51</v>
      </c>
      <c r="K45" s="1148"/>
      <c r="L45" s="1148" t="s">
        <v>2973</v>
      </c>
      <c r="M45" s="1148"/>
      <c r="N45" s="1151" t="s">
        <v>2974</v>
      </c>
      <c r="O45" s="1152">
        <f>1090*1+21+70</f>
        <v>1181</v>
      </c>
      <c r="P45" s="1148"/>
      <c r="Q45" s="1148" t="s">
        <v>2975</v>
      </c>
      <c r="R45" s="1501">
        <v>1</v>
      </c>
      <c r="S45" s="1150">
        <v>3</v>
      </c>
      <c r="T45" s="1150">
        <v>1</v>
      </c>
      <c r="U45" s="1413">
        <v>545</v>
      </c>
      <c r="V45" s="1155">
        <v>44375</v>
      </c>
      <c r="W45" s="1148" t="s">
        <v>1477</v>
      </c>
      <c r="X45" s="1148" t="s">
        <v>1154</v>
      </c>
      <c r="Y45" s="1148" t="s">
        <v>3136</v>
      </c>
      <c r="Z45" s="1148"/>
      <c r="AA45" s="1148"/>
      <c r="AD45" s="1429" t="s">
        <v>3628</v>
      </c>
    </row>
    <row r="46" spans="1:30" s="689" customFormat="1" ht="13.2">
      <c r="A46" s="115" t="s">
        <v>2365</v>
      </c>
      <c r="B46" s="115" t="s">
        <v>2366</v>
      </c>
      <c r="C46" s="116">
        <v>43750</v>
      </c>
      <c r="D46" s="116">
        <v>43764</v>
      </c>
      <c r="E46" s="115" t="s">
        <v>2367</v>
      </c>
      <c r="F46" s="115"/>
      <c r="G46" s="361" t="s">
        <v>2368</v>
      </c>
      <c r="H46" s="115" t="s">
        <v>2369</v>
      </c>
      <c r="I46" s="115" t="s">
        <v>18</v>
      </c>
      <c r="J46" s="115" t="s">
        <v>51</v>
      </c>
      <c r="K46" s="115"/>
      <c r="L46" s="124" t="s">
        <v>2370</v>
      </c>
      <c r="M46" s="115"/>
      <c r="N46" s="128" t="s">
        <v>2371</v>
      </c>
      <c r="O46" s="118">
        <f>790*2</f>
        <v>1580</v>
      </c>
      <c r="P46" s="115"/>
      <c r="Q46" s="115"/>
      <c r="R46" s="1486">
        <v>2</v>
      </c>
      <c r="S46" s="361">
        <v>3</v>
      </c>
      <c r="T46" s="361">
        <v>2</v>
      </c>
      <c r="U46" s="129">
        <f>O46/4</f>
        <v>395</v>
      </c>
      <c r="V46" s="120">
        <v>43722</v>
      </c>
      <c r="W46" s="115" t="s">
        <v>1477</v>
      </c>
      <c r="X46" s="115" t="s">
        <v>1154</v>
      </c>
      <c r="Y46" s="115"/>
      <c r="Z46" s="115"/>
      <c r="AA46" s="115"/>
      <c r="AD46" s="1446" t="s">
        <v>2795</v>
      </c>
    </row>
    <row r="47" spans="1:30" ht="13.2">
      <c r="A47" s="1148" t="s">
        <v>3077</v>
      </c>
      <c r="B47" s="1148" t="s">
        <v>256</v>
      </c>
      <c r="C47" s="1149">
        <v>44821</v>
      </c>
      <c r="D47" s="1149">
        <v>44835</v>
      </c>
      <c r="E47" s="1211"/>
      <c r="F47" s="1148"/>
      <c r="G47" s="1150"/>
      <c r="H47" s="1148"/>
      <c r="I47" s="1148" t="s">
        <v>18</v>
      </c>
      <c r="J47" s="1148" t="s">
        <v>51</v>
      </c>
      <c r="K47" s="1148"/>
      <c r="L47" s="1148" t="s">
        <v>3078</v>
      </c>
      <c r="M47" s="1148"/>
      <c r="N47" s="1159" t="s">
        <v>3079</v>
      </c>
      <c r="O47" s="1152">
        <f>1290*2+70</f>
        <v>2650</v>
      </c>
      <c r="P47" s="1148"/>
      <c r="Q47" s="1148" t="s">
        <v>2674</v>
      </c>
      <c r="R47" s="1501">
        <v>2</v>
      </c>
      <c r="S47" s="1150">
        <v>2</v>
      </c>
      <c r="T47" s="1150">
        <v>1</v>
      </c>
      <c r="U47" s="1157">
        <v>645</v>
      </c>
      <c r="V47" s="1155">
        <v>44511</v>
      </c>
      <c r="W47" s="1148"/>
      <c r="X47" s="1148" t="s">
        <v>1154</v>
      </c>
      <c r="Y47" s="1148"/>
      <c r="Z47" s="1148"/>
      <c r="AA47" s="1148"/>
      <c r="AD47" s="1164" t="s">
        <v>2725</v>
      </c>
    </row>
    <row r="48" spans="1:30" s="115" customFormat="1" ht="13.2">
      <c r="A48" s="355" t="s">
        <v>3429</v>
      </c>
      <c r="B48" s="355" t="s">
        <v>3430</v>
      </c>
      <c r="C48" s="357">
        <v>45164</v>
      </c>
      <c r="D48" s="357">
        <v>45178</v>
      </c>
      <c r="E48" s="355" t="s">
        <v>3431</v>
      </c>
      <c r="F48" s="355"/>
      <c r="G48" s="355" t="s">
        <v>3432</v>
      </c>
      <c r="H48" s="355" t="s">
        <v>937</v>
      </c>
      <c r="I48" s="355" t="s">
        <v>18</v>
      </c>
      <c r="J48" s="355" t="s">
        <v>1023</v>
      </c>
      <c r="K48" s="355"/>
      <c r="L48" s="1513" t="s">
        <v>3433</v>
      </c>
      <c r="M48" s="355"/>
      <c r="N48" s="401" t="s">
        <v>3446</v>
      </c>
      <c r="O48" s="359">
        <f>2190+2090</f>
        <v>4280</v>
      </c>
      <c r="P48" s="355"/>
      <c r="Q48" s="355" t="s">
        <v>3434</v>
      </c>
      <c r="R48" s="1487">
        <v>2</v>
      </c>
      <c r="S48" s="358">
        <v>4</v>
      </c>
      <c r="T48" s="358">
        <v>1</v>
      </c>
      <c r="U48" s="1775">
        <v>1070</v>
      </c>
      <c r="V48" s="360">
        <v>44955</v>
      </c>
      <c r="W48" s="355" t="s">
        <v>1477</v>
      </c>
      <c r="X48" s="355" t="s">
        <v>1154</v>
      </c>
      <c r="Y48" s="355" t="s">
        <v>3448</v>
      </c>
      <c r="Z48" s="355"/>
      <c r="AA48" s="355"/>
      <c r="AD48" s="443" t="s">
        <v>3970</v>
      </c>
    </row>
    <row r="49" spans="1:30" ht="13.8" thickBot="1">
      <c r="A49" s="820" t="s">
        <v>3411</v>
      </c>
      <c r="B49" s="820" t="s">
        <v>3414</v>
      </c>
      <c r="C49" s="821">
        <v>45136</v>
      </c>
      <c r="D49" s="821">
        <v>45148</v>
      </c>
      <c r="E49" s="820"/>
      <c r="F49" s="820"/>
      <c r="G49" s="820"/>
      <c r="H49" s="820"/>
      <c r="I49" s="820" t="s">
        <v>18</v>
      </c>
      <c r="J49" s="820" t="s">
        <v>51</v>
      </c>
      <c r="K49" s="820" t="s">
        <v>3421</v>
      </c>
      <c r="L49" s="1478" t="s">
        <v>3415</v>
      </c>
      <c r="M49" s="820"/>
      <c r="N49" s="1458" t="s">
        <v>3412</v>
      </c>
      <c r="O49" s="1467">
        <f>2490*2+70</f>
        <v>5050</v>
      </c>
      <c r="P49" s="820"/>
      <c r="Q49" s="820" t="s">
        <v>3416</v>
      </c>
      <c r="R49" s="1512">
        <v>2</v>
      </c>
      <c r="S49" s="822">
        <v>5</v>
      </c>
      <c r="T49" s="822">
        <v>1</v>
      </c>
      <c r="U49" s="1468">
        <f>1245+2805</f>
        <v>4050</v>
      </c>
      <c r="V49" s="825">
        <v>44941</v>
      </c>
      <c r="W49" s="820" t="s">
        <v>1477</v>
      </c>
      <c r="X49" s="820" t="s">
        <v>1154</v>
      </c>
      <c r="Y49" s="820"/>
      <c r="Z49" s="820"/>
      <c r="AA49" s="820"/>
      <c r="AD49" s="128" t="s">
        <v>3608</v>
      </c>
    </row>
    <row r="50" spans="1:30" ht="13.8" thickBot="1">
      <c r="A50" s="517" t="s">
        <v>2580</v>
      </c>
      <c r="B50" s="539" t="s">
        <v>528</v>
      </c>
      <c r="C50" s="116">
        <v>44033</v>
      </c>
      <c r="D50" s="651">
        <v>44044</v>
      </c>
      <c r="E50" s="539" t="s">
        <v>2581</v>
      </c>
      <c r="F50" s="115"/>
      <c r="G50" s="361" t="s">
        <v>2582</v>
      </c>
      <c r="H50" s="115" t="s">
        <v>2583</v>
      </c>
      <c r="I50" s="496" t="s">
        <v>18</v>
      </c>
      <c r="J50" s="115" t="s">
        <v>51</v>
      </c>
      <c r="K50" s="115" t="s">
        <v>2585</v>
      </c>
      <c r="L50" s="124" t="s">
        <v>2584</v>
      </c>
      <c r="M50" s="115"/>
      <c r="N50" s="128" t="s">
        <v>2586</v>
      </c>
      <c r="O50" s="118">
        <f>995+1990</f>
        <v>2985</v>
      </c>
      <c r="P50" s="115"/>
      <c r="Q50" s="115" t="s">
        <v>2643</v>
      </c>
      <c r="R50" s="1486">
        <v>2</v>
      </c>
      <c r="S50" s="361"/>
      <c r="T50" s="361">
        <v>2</v>
      </c>
      <c r="U50" s="129">
        <v>746</v>
      </c>
      <c r="V50" s="120"/>
      <c r="W50" s="115"/>
      <c r="X50" s="115"/>
      <c r="Y50" s="115"/>
      <c r="Z50" s="115"/>
      <c r="AA50" s="115"/>
      <c r="AD50" s="443" t="s">
        <v>3200</v>
      </c>
    </row>
    <row r="51" spans="1:30" ht="15" thickBot="1">
      <c r="A51" s="511" t="s">
        <v>3832</v>
      </c>
      <c r="B51" s="535" t="s">
        <v>3340</v>
      </c>
      <c r="C51" s="548">
        <v>45577</v>
      </c>
      <c r="D51" s="561">
        <v>45591</v>
      </c>
      <c r="E51" s="1771"/>
      <c r="F51" s="115"/>
      <c r="G51" s="361"/>
      <c r="H51" s="1223"/>
      <c r="I51" s="115" t="s">
        <v>18</v>
      </c>
      <c r="J51" s="115" t="s">
        <v>51</v>
      </c>
      <c r="K51" s="115"/>
      <c r="L51" s="124" t="s">
        <v>3833</v>
      </c>
      <c r="M51" s="115"/>
      <c r="N51" s="121" t="s">
        <v>3834</v>
      </c>
      <c r="O51" s="1027">
        <f>1290*2</f>
        <v>2580</v>
      </c>
      <c r="P51" s="115"/>
      <c r="Q51" s="115" t="s">
        <v>2674</v>
      </c>
      <c r="R51" s="1486">
        <v>2</v>
      </c>
      <c r="S51" s="361">
        <v>2</v>
      </c>
      <c r="T51" s="361">
        <v>1</v>
      </c>
      <c r="U51" s="129" t="s">
        <v>3863</v>
      </c>
      <c r="V51" s="120">
        <v>45292</v>
      </c>
      <c r="W51" s="115"/>
      <c r="X51" s="115" t="s">
        <v>1154</v>
      </c>
      <c r="Y51" s="115"/>
      <c r="Z51" s="115"/>
      <c r="AA51" s="115"/>
      <c r="AD51" s="1117" t="s">
        <v>2833</v>
      </c>
    </row>
    <row r="52" spans="1:30" ht="13.8" thickBot="1">
      <c r="A52" s="1177" t="s">
        <v>3080</v>
      </c>
      <c r="B52" s="1177" t="s">
        <v>3081</v>
      </c>
      <c r="C52" s="1178">
        <v>44765</v>
      </c>
      <c r="D52" s="1763">
        <v>44779</v>
      </c>
      <c r="E52" s="1770" t="s">
        <v>3082</v>
      </c>
      <c r="F52" s="1177"/>
      <c r="G52" s="1179" t="s">
        <v>3083</v>
      </c>
      <c r="H52" s="1177" t="s">
        <v>3084</v>
      </c>
      <c r="I52" s="1177" t="s">
        <v>168</v>
      </c>
      <c r="J52" s="1177" t="s">
        <v>51</v>
      </c>
      <c r="K52" s="1177"/>
      <c r="L52" s="1180" t="s">
        <v>3085</v>
      </c>
      <c r="M52" s="1177"/>
      <c r="N52" s="1181" t="s">
        <v>3086</v>
      </c>
      <c r="O52" s="1182">
        <f>1990*2+14*2*3+70</f>
        <v>4134</v>
      </c>
      <c r="P52" s="1177"/>
      <c r="Q52" s="1177" t="s">
        <v>3087</v>
      </c>
      <c r="R52" s="1505">
        <v>2</v>
      </c>
      <c r="S52" s="1179">
        <v>4</v>
      </c>
      <c r="T52" s="1179">
        <v>2</v>
      </c>
      <c r="U52" s="1183">
        <v>1016</v>
      </c>
      <c r="V52" s="1184"/>
      <c r="W52" s="1177" t="s">
        <v>1477</v>
      </c>
      <c r="X52" s="1177" t="s">
        <v>1154</v>
      </c>
      <c r="Y52" s="1177"/>
      <c r="Z52" s="1177"/>
      <c r="AA52" s="1177"/>
      <c r="AD52" s="1181" t="s">
        <v>3333</v>
      </c>
    </row>
    <row r="53" spans="1:30" ht="10.8" thickBot="1">
      <c r="A53" s="517" t="s">
        <v>3635</v>
      </c>
      <c r="B53" s="539" t="s">
        <v>3636</v>
      </c>
      <c r="C53" s="116">
        <v>45528</v>
      </c>
      <c r="D53" s="561">
        <v>45542</v>
      </c>
      <c r="E53" s="1766" t="s">
        <v>3637</v>
      </c>
      <c r="F53" s="115"/>
      <c r="G53" s="935" t="s">
        <v>3638</v>
      </c>
      <c r="H53" s="115" t="s">
        <v>3639</v>
      </c>
      <c r="I53" s="115" t="s">
        <v>18</v>
      </c>
      <c r="J53" s="115" t="s">
        <v>51</v>
      </c>
      <c r="K53" s="115" t="s">
        <v>3640</v>
      </c>
      <c r="L53" s="935" t="s">
        <v>3641</v>
      </c>
      <c r="M53" s="115"/>
      <c r="N53" s="128" t="s">
        <v>3642</v>
      </c>
      <c r="O53" s="118">
        <f>2490+2190</f>
        <v>4680</v>
      </c>
      <c r="P53" s="115"/>
      <c r="Q53" s="115" t="s">
        <v>3643</v>
      </c>
      <c r="R53" s="1486">
        <v>2</v>
      </c>
      <c r="S53" s="361">
        <v>3</v>
      </c>
      <c r="T53" s="361">
        <v>2</v>
      </c>
      <c r="U53" s="129" t="s">
        <v>3650</v>
      </c>
      <c r="V53" s="120">
        <v>45210</v>
      </c>
      <c r="W53" s="115" t="s">
        <v>1525</v>
      </c>
      <c r="X53" s="115"/>
      <c r="Y53" s="115"/>
      <c r="Z53" s="115"/>
      <c r="AA53" s="115"/>
      <c r="AD53" s="128" t="s">
        <v>2402</v>
      </c>
    </row>
    <row r="54" spans="1:30" ht="13.8" thickBot="1">
      <c r="A54" s="1753" t="s">
        <v>3181</v>
      </c>
      <c r="B54" s="1757" t="s">
        <v>2480</v>
      </c>
      <c r="C54" s="1070">
        <v>44758</v>
      </c>
      <c r="D54" s="1765">
        <v>44765</v>
      </c>
      <c r="E54" s="1772" t="s">
        <v>3182</v>
      </c>
      <c r="F54" s="1069"/>
      <c r="G54" s="1071" t="s">
        <v>3183</v>
      </c>
      <c r="H54" s="1069" t="s">
        <v>3184</v>
      </c>
      <c r="I54" s="1069" t="s">
        <v>18</v>
      </c>
      <c r="J54" s="1069" t="s">
        <v>51</v>
      </c>
      <c r="K54" s="1069"/>
      <c r="L54" s="1072" t="s">
        <v>3185</v>
      </c>
      <c r="M54" s="1069"/>
      <c r="N54" s="401" t="s">
        <v>3186</v>
      </c>
      <c r="O54" s="1174">
        <f>1990+70+42</f>
        <v>2102</v>
      </c>
      <c r="P54" s="1069"/>
      <c r="Q54" s="1069" t="s">
        <v>1192</v>
      </c>
      <c r="R54" s="1504">
        <v>1</v>
      </c>
      <c r="S54" s="1071">
        <v>2</v>
      </c>
      <c r="T54" s="1071">
        <v>2</v>
      </c>
      <c r="U54" s="1175">
        <v>500</v>
      </c>
      <c r="V54" s="1176">
        <v>44609</v>
      </c>
      <c r="W54" s="1069" t="s">
        <v>1477</v>
      </c>
      <c r="X54" s="1069" t="s">
        <v>1154</v>
      </c>
      <c r="Y54" s="1069"/>
      <c r="Z54" s="1069"/>
      <c r="AA54" s="1069"/>
      <c r="AD54" s="128" t="s">
        <v>3621</v>
      </c>
    </row>
    <row r="55" spans="1:30" ht="13.8" thickBot="1">
      <c r="A55" s="1751" t="s">
        <v>2295</v>
      </c>
      <c r="B55" s="1754" t="s">
        <v>102</v>
      </c>
      <c r="C55" s="393">
        <v>43722</v>
      </c>
      <c r="D55" s="1762">
        <v>43736</v>
      </c>
      <c r="E55" s="1767"/>
      <c r="F55" s="936" t="s">
        <v>2297</v>
      </c>
      <c r="G55" s="394" t="s">
        <v>2298</v>
      </c>
      <c r="H55" s="936" t="s">
        <v>2299</v>
      </c>
      <c r="I55" s="392" t="s">
        <v>18</v>
      </c>
      <c r="J55" s="392" t="s">
        <v>51</v>
      </c>
      <c r="K55" s="396"/>
      <c r="L55" s="936" t="s">
        <v>2300</v>
      </c>
      <c r="M55" s="392"/>
      <c r="N55" s="397" t="s">
        <v>2296</v>
      </c>
      <c r="O55" s="398"/>
      <c r="P55" s="392"/>
      <c r="Q55" s="392"/>
      <c r="R55" s="1488"/>
      <c r="S55" s="394">
        <v>2</v>
      </c>
      <c r="T55" s="394">
        <v>1</v>
      </c>
      <c r="U55" s="672"/>
      <c r="V55" s="400">
        <v>43580</v>
      </c>
      <c r="W55" s="392" t="s">
        <v>1477</v>
      </c>
      <c r="X55" s="392" t="s">
        <v>1154</v>
      </c>
      <c r="Y55" s="392"/>
      <c r="Z55" s="392"/>
      <c r="AA55" s="392"/>
      <c r="AD55" s="121" t="s">
        <v>3800</v>
      </c>
    </row>
    <row r="56" spans="1:30" ht="13.2">
      <c r="A56" s="115" t="s">
        <v>3844</v>
      </c>
      <c r="B56" s="115" t="s">
        <v>2488</v>
      </c>
      <c r="C56" s="116">
        <v>45437</v>
      </c>
      <c r="D56" s="116">
        <v>45451</v>
      </c>
      <c r="E56" s="935" t="s">
        <v>3845</v>
      </c>
      <c r="F56" s="115"/>
      <c r="G56" s="935" t="s">
        <v>3846</v>
      </c>
      <c r="H56" s="115" t="s">
        <v>3847</v>
      </c>
      <c r="I56" s="115" t="s">
        <v>18</v>
      </c>
      <c r="J56" s="115" t="s">
        <v>51</v>
      </c>
      <c r="K56" s="115"/>
      <c r="L56" s="935" t="s">
        <v>3848</v>
      </c>
      <c r="M56" s="115"/>
      <c r="N56" s="121" t="s">
        <v>3849</v>
      </c>
      <c r="O56" s="118">
        <f>1590*2</f>
        <v>3180</v>
      </c>
      <c r="P56" s="115"/>
      <c r="Q56" s="115" t="s">
        <v>1192</v>
      </c>
      <c r="R56" s="1486">
        <v>2</v>
      </c>
      <c r="S56" s="361">
        <v>2</v>
      </c>
      <c r="T56" s="361">
        <v>2</v>
      </c>
      <c r="U56" s="129" t="s">
        <v>3862</v>
      </c>
      <c r="V56" s="120">
        <v>45301</v>
      </c>
      <c r="W56" s="115" t="s">
        <v>1477</v>
      </c>
      <c r="X56" s="115"/>
      <c r="Y56" s="115"/>
      <c r="Z56" s="115"/>
      <c r="AA56" s="115"/>
      <c r="AD56" s="128" t="s">
        <v>2509</v>
      </c>
    </row>
    <row r="57" spans="1:30" ht="13.2">
      <c r="A57" s="355" t="s">
        <v>2834</v>
      </c>
      <c r="B57" s="355" t="s">
        <v>264</v>
      </c>
      <c r="C57" s="357">
        <v>44380</v>
      </c>
      <c r="D57" s="357">
        <v>44401</v>
      </c>
      <c r="E57" s="934" t="s">
        <v>2835</v>
      </c>
      <c r="F57" s="355"/>
      <c r="G57" s="934" t="s">
        <v>2836</v>
      </c>
      <c r="H57" s="355" t="s">
        <v>868</v>
      </c>
      <c r="I57" s="355" t="s">
        <v>18</v>
      </c>
      <c r="J57" s="355" t="s">
        <v>51</v>
      </c>
      <c r="K57" s="355" t="s">
        <v>2838</v>
      </c>
      <c r="L57" s="934" t="s">
        <v>2837</v>
      </c>
      <c r="M57" s="355"/>
      <c r="N57" s="365" t="s">
        <v>2839</v>
      </c>
      <c r="O57" s="359">
        <f>2000*3</f>
        <v>6000</v>
      </c>
      <c r="P57" s="355"/>
      <c r="Q57" s="355" t="s">
        <v>2840</v>
      </c>
      <c r="R57" s="1487">
        <v>3</v>
      </c>
      <c r="S57" s="358">
        <v>3</v>
      </c>
      <c r="T57" s="358">
        <v>1</v>
      </c>
      <c r="U57" s="417">
        <v>1492.5</v>
      </c>
      <c r="V57" s="360">
        <v>44206</v>
      </c>
      <c r="W57" s="355" t="s">
        <v>1477</v>
      </c>
      <c r="X57" s="355" t="s">
        <v>1154</v>
      </c>
      <c r="Y57" s="355"/>
      <c r="Z57" s="355"/>
      <c r="AA57" s="355"/>
      <c r="AD57" s="1159" t="s">
        <v>3079</v>
      </c>
    </row>
    <row r="58" spans="1:30" ht="14.4">
      <c r="A58" s="355" t="s">
        <v>3543</v>
      </c>
      <c r="B58" s="355" t="s">
        <v>2481</v>
      </c>
      <c r="C58" s="357">
        <v>45233</v>
      </c>
      <c r="D58" s="357">
        <v>45247</v>
      </c>
      <c r="E58" s="1555"/>
      <c r="F58" s="355"/>
      <c r="G58" s="358"/>
      <c r="H58" s="1555"/>
      <c r="I58" s="355"/>
      <c r="J58" s="355" t="s">
        <v>51</v>
      </c>
      <c r="K58" s="355"/>
      <c r="L58" s="1513" t="s">
        <v>3545</v>
      </c>
      <c r="M58" s="355"/>
      <c r="N58" s="401" t="s">
        <v>3544</v>
      </c>
      <c r="O58" s="1036">
        <f>545+1750</f>
        <v>2295</v>
      </c>
      <c r="P58" s="355"/>
      <c r="Q58" s="355" t="s">
        <v>3338</v>
      </c>
      <c r="R58" s="1487">
        <v>2</v>
      </c>
      <c r="S58" s="358">
        <v>2</v>
      </c>
      <c r="T58" s="358"/>
      <c r="U58" s="417">
        <v>545</v>
      </c>
      <c r="V58" s="360">
        <v>45137</v>
      </c>
      <c r="W58" s="355" t="s">
        <v>1477</v>
      </c>
      <c r="X58" s="355"/>
      <c r="Y58" s="355"/>
      <c r="Z58" s="355"/>
      <c r="AA58" s="355"/>
      <c r="AD58" s="1151" t="s">
        <v>3564</v>
      </c>
    </row>
    <row r="59" spans="1:30" ht="13.2">
      <c r="A59" s="355" t="s">
        <v>3305</v>
      </c>
      <c r="B59" s="355" t="s">
        <v>3517</v>
      </c>
      <c r="C59" s="357">
        <v>45101</v>
      </c>
      <c r="D59" s="357">
        <v>45122</v>
      </c>
      <c r="E59" s="355" t="s">
        <v>3307</v>
      </c>
      <c r="F59" s="355"/>
      <c r="G59" s="355" t="s">
        <v>3308</v>
      </c>
      <c r="H59" s="355" t="s">
        <v>187</v>
      </c>
      <c r="I59" s="355" t="s">
        <v>18</v>
      </c>
      <c r="J59" s="355" t="s">
        <v>51</v>
      </c>
      <c r="K59" s="355" t="s">
        <v>3310</v>
      </c>
      <c r="L59" s="355" t="s">
        <v>3309</v>
      </c>
      <c r="M59" s="355"/>
      <c r="N59" s="401" t="s">
        <v>3311</v>
      </c>
      <c r="O59" s="359">
        <f>2490*2+1500</f>
        <v>6480</v>
      </c>
      <c r="P59" s="355"/>
      <c r="Q59" s="355" t="s">
        <v>3312</v>
      </c>
      <c r="R59" s="1487">
        <v>3</v>
      </c>
      <c r="S59" s="358">
        <v>6</v>
      </c>
      <c r="T59" s="358">
        <v>2</v>
      </c>
      <c r="U59" s="1461">
        <f>1245+375</f>
        <v>1620</v>
      </c>
      <c r="V59" s="360">
        <v>44754</v>
      </c>
      <c r="W59" s="355" t="s">
        <v>1665</v>
      </c>
      <c r="X59" s="355" t="s">
        <v>3518</v>
      </c>
      <c r="Y59" s="355" t="s">
        <v>3519</v>
      </c>
      <c r="Z59" s="355"/>
      <c r="AA59" s="355"/>
      <c r="AD59" s="128" t="s">
        <v>2764</v>
      </c>
    </row>
    <row r="60" spans="1:30" ht="13.2">
      <c r="A60" s="115" t="s">
        <v>3798</v>
      </c>
      <c r="B60" s="115" t="s">
        <v>1953</v>
      </c>
      <c r="C60" s="116">
        <v>45514</v>
      </c>
      <c r="D60" s="116">
        <v>45528</v>
      </c>
      <c r="E60" s="935"/>
      <c r="F60" s="115"/>
      <c r="G60" s="935"/>
      <c r="H60" s="115"/>
      <c r="I60" s="115" t="s">
        <v>18</v>
      </c>
      <c r="J60" s="115" t="s">
        <v>51</v>
      </c>
      <c r="K60" s="115"/>
      <c r="L60" s="935" t="s">
        <v>3799</v>
      </c>
      <c r="M60" s="115"/>
      <c r="N60" s="121" t="s">
        <v>3800</v>
      </c>
      <c r="O60" s="118">
        <f>2490*2</f>
        <v>4980</v>
      </c>
      <c r="P60" s="115"/>
      <c r="Q60" s="115" t="s">
        <v>3622</v>
      </c>
      <c r="R60" s="1486">
        <v>2</v>
      </c>
      <c r="S60" s="361">
        <v>3</v>
      </c>
      <c r="T60" s="361">
        <v>1</v>
      </c>
      <c r="U60" s="129"/>
      <c r="V60" s="120"/>
      <c r="W60" s="115"/>
      <c r="X60" s="115"/>
      <c r="Y60" s="115"/>
      <c r="Z60" s="115"/>
      <c r="AA60" s="115"/>
      <c r="AD60" s="128" t="s">
        <v>2454</v>
      </c>
    </row>
    <row r="61" spans="1:30" ht="13.2">
      <c r="A61" s="115" t="s">
        <v>2504</v>
      </c>
      <c r="B61" s="115" t="s">
        <v>2503</v>
      </c>
      <c r="C61" s="116">
        <v>44072</v>
      </c>
      <c r="D61" s="116">
        <v>44079</v>
      </c>
      <c r="E61" s="115" t="s">
        <v>2505</v>
      </c>
      <c r="F61" s="115"/>
      <c r="G61" s="361" t="s">
        <v>2506</v>
      </c>
      <c r="H61" s="115" t="s">
        <v>2507</v>
      </c>
      <c r="I61" s="496" t="s">
        <v>1674</v>
      </c>
      <c r="J61" s="115" t="s">
        <v>51</v>
      </c>
      <c r="K61" s="115"/>
      <c r="L61" s="124" t="s">
        <v>2508</v>
      </c>
      <c r="M61" s="115"/>
      <c r="N61" s="128" t="s">
        <v>2509</v>
      </c>
      <c r="O61" s="118">
        <v>1990</v>
      </c>
      <c r="P61" s="115" t="s">
        <v>2510</v>
      </c>
      <c r="Q61" s="115" t="s">
        <v>2424</v>
      </c>
      <c r="R61" s="1486">
        <v>1</v>
      </c>
      <c r="S61" s="361" t="s">
        <v>2511</v>
      </c>
      <c r="T61" s="361">
        <v>1</v>
      </c>
      <c r="U61" s="129">
        <v>500</v>
      </c>
      <c r="V61" s="120">
        <v>43863</v>
      </c>
      <c r="W61" s="115"/>
      <c r="X61" s="115"/>
      <c r="Y61" s="115"/>
      <c r="Z61" s="115"/>
      <c r="AA61" s="115"/>
      <c r="AD61" s="401" t="s">
        <v>3440</v>
      </c>
    </row>
    <row r="62" spans="1:30">
      <c r="A62" s="1148" t="s">
        <v>3566</v>
      </c>
      <c r="B62" s="1148" t="s">
        <v>3565</v>
      </c>
      <c r="C62" s="1149">
        <v>45430</v>
      </c>
      <c r="D62" s="1149">
        <v>45444</v>
      </c>
      <c r="E62" s="1148" t="s">
        <v>3567</v>
      </c>
      <c r="F62" s="1148"/>
      <c r="G62" s="1150" t="s">
        <v>3568</v>
      </c>
      <c r="H62" s="1148" t="s">
        <v>3569</v>
      </c>
      <c r="I62" s="1148" t="s">
        <v>18</v>
      </c>
      <c r="J62" s="1148" t="s">
        <v>51</v>
      </c>
      <c r="K62" s="1148" t="s">
        <v>3570</v>
      </c>
      <c r="L62" s="1148" t="s">
        <v>3571</v>
      </c>
      <c r="M62" s="1148"/>
      <c r="N62" s="1151" t="s">
        <v>3564</v>
      </c>
      <c r="O62" s="1152">
        <v>0</v>
      </c>
      <c r="P62" s="1148"/>
      <c r="Q62" s="1148" t="s">
        <v>3599</v>
      </c>
      <c r="R62" s="1501">
        <v>0</v>
      </c>
      <c r="S62" s="1150">
        <v>4</v>
      </c>
      <c r="T62" s="1150">
        <v>2</v>
      </c>
      <c r="U62" s="1413" t="s">
        <v>3572</v>
      </c>
      <c r="V62" s="1155">
        <v>45164</v>
      </c>
      <c r="W62" s="1148" t="s">
        <v>1477</v>
      </c>
      <c r="X62" s="1148" t="s">
        <v>1154</v>
      </c>
      <c r="Y62" s="1148" t="s">
        <v>3704</v>
      </c>
      <c r="Z62" s="1148"/>
      <c r="AA62" s="1148"/>
      <c r="AD62" s="128" t="s">
        <v>2673</v>
      </c>
    </row>
    <row r="63" spans="1:30" s="355" customFormat="1">
      <c r="A63" s="115" t="s">
        <v>3574</v>
      </c>
      <c r="B63" s="115" t="s">
        <v>2686</v>
      </c>
      <c r="C63" s="116">
        <v>45409</v>
      </c>
      <c r="D63" s="116">
        <v>45430</v>
      </c>
      <c r="E63" s="115" t="s">
        <v>3575</v>
      </c>
      <c r="F63" s="115"/>
      <c r="G63" s="361" t="s">
        <v>3505</v>
      </c>
      <c r="H63" s="115" t="s">
        <v>3576</v>
      </c>
      <c r="I63" s="115" t="s">
        <v>18</v>
      </c>
      <c r="J63" s="115" t="s">
        <v>51</v>
      </c>
      <c r="K63" s="115" t="s">
        <v>3577</v>
      </c>
      <c r="L63" s="115" t="s">
        <v>3578</v>
      </c>
      <c r="M63" s="115"/>
      <c r="N63" s="128" t="s">
        <v>3579</v>
      </c>
      <c r="O63" s="118">
        <f>1290+1290+1390</f>
        <v>3970</v>
      </c>
      <c r="P63" s="115"/>
      <c r="Q63" s="115" t="s">
        <v>1192</v>
      </c>
      <c r="R63" s="1486">
        <v>3</v>
      </c>
      <c r="S63" s="361">
        <v>2</v>
      </c>
      <c r="T63" s="361">
        <v>2</v>
      </c>
      <c r="U63" s="598" t="s">
        <v>3590</v>
      </c>
      <c r="V63" s="120">
        <v>45166</v>
      </c>
      <c r="W63" s="115" t="s">
        <v>1477</v>
      </c>
      <c r="X63" s="115" t="s">
        <v>1154</v>
      </c>
      <c r="Y63" s="115"/>
      <c r="Z63" s="115"/>
      <c r="AA63" s="115"/>
      <c r="AD63" s="1115" t="s">
        <v>2925</v>
      </c>
    </row>
    <row r="64" spans="1:30" s="355" customFormat="1" ht="13.2">
      <c r="A64" s="1203" t="s">
        <v>137</v>
      </c>
      <c r="B64" s="1203" t="s">
        <v>304</v>
      </c>
      <c r="C64" s="1204">
        <v>44842</v>
      </c>
      <c r="D64" s="1204">
        <v>44849</v>
      </c>
      <c r="E64" s="1205" t="s">
        <v>3299</v>
      </c>
      <c r="F64" s="1203"/>
      <c r="G64" s="1206"/>
      <c r="H64" s="1203" t="s">
        <v>3300</v>
      </c>
      <c r="I64" s="1203" t="s">
        <v>18</v>
      </c>
      <c r="J64" s="1203" t="s">
        <v>51</v>
      </c>
      <c r="K64" s="1203"/>
      <c r="L64" s="1203" t="s">
        <v>3301</v>
      </c>
      <c r="M64" s="1203"/>
      <c r="N64" s="1207" t="s">
        <v>3302</v>
      </c>
      <c r="O64" s="1208">
        <f>1030+297.5</f>
        <v>1327.5</v>
      </c>
      <c r="P64" s="1203"/>
      <c r="Q64" s="1203" t="s">
        <v>3303</v>
      </c>
      <c r="R64" s="1506">
        <v>1</v>
      </c>
      <c r="S64" s="1206">
        <v>2</v>
      </c>
      <c r="T64" s="1206">
        <v>3</v>
      </c>
      <c r="U64" s="1209">
        <v>297.5</v>
      </c>
      <c r="V64" s="1210">
        <v>44746</v>
      </c>
      <c r="W64" s="1203" t="s">
        <v>1477</v>
      </c>
      <c r="X64" s="1203" t="s">
        <v>1154</v>
      </c>
      <c r="Y64" s="1203"/>
      <c r="Z64" s="1203"/>
      <c r="AA64" s="1203"/>
      <c r="AD64" s="401" t="s">
        <v>3226</v>
      </c>
    </row>
    <row r="65" spans="1:30">
      <c r="A65" s="699" t="s">
        <v>2529</v>
      </c>
      <c r="B65" s="699" t="s">
        <v>2530</v>
      </c>
      <c r="C65" s="700">
        <v>43960</v>
      </c>
      <c r="D65" s="700">
        <v>43974</v>
      </c>
      <c r="E65" s="699" t="s">
        <v>2531</v>
      </c>
      <c r="F65" s="699"/>
      <c r="G65" s="701" t="s">
        <v>2532</v>
      </c>
      <c r="H65" s="699" t="s">
        <v>2533</v>
      </c>
      <c r="I65" s="702" t="s">
        <v>18</v>
      </c>
      <c r="J65" s="699" t="s">
        <v>1023</v>
      </c>
      <c r="K65" s="699" t="s">
        <v>2535</v>
      </c>
      <c r="L65" s="703" t="s">
        <v>2534</v>
      </c>
      <c r="M65" s="699"/>
      <c r="N65" s="875" t="s">
        <v>2536</v>
      </c>
      <c r="O65" s="704"/>
      <c r="P65" s="699"/>
      <c r="Q65" s="699" t="s">
        <v>2564</v>
      </c>
      <c r="R65" s="1489"/>
      <c r="S65" s="701">
        <v>2</v>
      </c>
      <c r="T65" s="701">
        <v>1</v>
      </c>
      <c r="U65" s="708">
        <v>412.5</v>
      </c>
      <c r="V65" s="706">
        <v>43884</v>
      </c>
      <c r="W65" s="699"/>
      <c r="X65" s="699" t="s">
        <v>1217</v>
      </c>
      <c r="Y65" s="699" t="s">
        <v>2553</v>
      </c>
      <c r="Z65" s="699"/>
      <c r="AA65" s="699"/>
      <c r="AD65" s="874" t="s">
        <v>2642</v>
      </c>
    </row>
    <row r="66" spans="1:30" s="946" customFormat="1" ht="13.2">
      <c r="A66" s="115" t="s">
        <v>2397</v>
      </c>
      <c r="B66" s="115" t="s">
        <v>396</v>
      </c>
      <c r="C66" s="116">
        <v>43817</v>
      </c>
      <c r="D66" s="116">
        <v>43827</v>
      </c>
      <c r="E66" s="115" t="s">
        <v>2398</v>
      </c>
      <c r="F66" s="115"/>
      <c r="G66" s="361" t="s">
        <v>2399</v>
      </c>
      <c r="H66" s="115" t="s">
        <v>2400</v>
      </c>
      <c r="I66" s="115" t="s">
        <v>1775</v>
      </c>
      <c r="J66" s="115" t="s">
        <v>1023</v>
      </c>
      <c r="K66" s="115"/>
      <c r="L66" s="124" t="s">
        <v>2401</v>
      </c>
      <c r="M66" s="115"/>
      <c r="N66" s="128" t="s">
        <v>2402</v>
      </c>
      <c r="O66" s="118">
        <v>1785</v>
      </c>
      <c r="P66" s="115"/>
      <c r="Q66" s="115"/>
      <c r="R66" s="1486">
        <v>1.5</v>
      </c>
      <c r="S66" s="361">
        <v>2</v>
      </c>
      <c r="T66" s="361">
        <v>1</v>
      </c>
      <c r="U66" s="129">
        <v>446.25</v>
      </c>
      <c r="V66" s="120">
        <v>43801</v>
      </c>
      <c r="W66" s="115" t="s">
        <v>1477</v>
      </c>
      <c r="X66" s="115" t="s">
        <v>1154</v>
      </c>
      <c r="Y66" s="115"/>
      <c r="Z66" s="115"/>
      <c r="AA66" s="115"/>
      <c r="AD66" s="121" t="s">
        <v>3935</v>
      </c>
    </row>
    <row r="67" spans="1:30" s="838" customFormat="1" ht="13.2">
      <c r="A67" s="115" t="s">
        <v>3931</v>
      </c>
      <c r="B67" s="115" t="s">
        <v>652</v>
      </c>
      <c r="C67" s="116">
        <v>45465</v>
      </c>
      <c r="D67" s="116">
        <v>45472</v>
      </c>
      <c r="E67" s="935" t="s">
        <v>3932</v>
      </c>
      <c r="F67" s="115"/>
      <c r="G67" s="935" t="s">
        <v>3933</v>
      </c>
      <c r="H67" s="115" t="s">
        <v>1694</v>
      </c>
      <c r="I67" s="115" t="s">
        <v>18</v>
      </c>
      <c r="J67" s="115" t="s">
        <v>51</v>
      </c>
      <c r="K67" s="115"/>
      <c r="L67" s="935" t="s">
        <v>3934</v>
      </c>
      <c r="M67" s="115"/>
      <c r="N67" s="121" t="s">
        <v>3935</v>
      </c>
      <c r="O67" s="118">
        <v>1990</v>
      </c>
      <c r="P67" s="115"/>
      <c r="Q67" s="115" t="s">
        <v>1025</v>
      </c>
      <c r="R67" s="1486">
        <v>1</v>
      </c>
      <c r="S67" s="361">
        <v>2</v>
      </c>
      <c r="T67" s="361">
        <v>1</v>
      </c>
      <c r="U67" s="129" t="s">
        <v>3937</v>
      </c>
      <c r="V67" s="120">
        <v>45347</v>
      </c>
      <c r="W67" s="115" t="s">
        <v>1477</v>
      </c>
      <c r="X67" s="115" t="s">
        <v>1154</v>
      </c>
      <c r="Y67" s="115"/>
      <c r="Z67" s="115"/>
      <c r="AA67" s="115"/>
      <c r="AD67" s="1458" t="s">
        <v>3427</v>
      </c>
    </row>
    <row r="68" spans="1:30" s="408" customFormat="1">
      <c r="A68" s="115" t="s">
        <v>3615</v>
      </c>
      <c r="B68" s="115" t="s">
        <v>3616</v>
      </c>
      <c r="C68" s="116">
        <v>45451</v>
      </c>
      <c r="D68" s="116">
        <v>45465</v>
      </c>
      <c r="E68" s="935" t="s">
        <v>3617</v>
      </c>
      <c r="F68" s="115"/>
      <c r="G68" s="935" t="s">
        <v>3618</v>
      </c>
      <c r="H68" s="115" t="s">
        <v>3619</v>
      </c>
      <c r="I68" s="115" t="s">
        <v>18</v>
      </c>
      <c r="J68" s="115" t="s">
        <v>51</v>
      </c>
      <c r="K68" s="115"/>
      <c r="L68" s="935" t="s">
        <v>3620</v>
      </c>
      <c r="M68" s="115"/>
      <c r="N68" s="128" t="s">
        <v>3621</v>
      </c>
      <c r="O68" s="118">
        <f xml:space="preserve"> 1690+1990+70+30</f>
        <v>3780</v>
      </c>
      <c r="P68" s="115"/>
      <c r="Q68" s="115" t="s">
        <v>3622</v>
      </c>
      <c r="R68" s="1486">
        <v>2</v>
      </c>
      <c r="S68" s="361">
        <v>3</v>
      </c>
      <c r="T68" s="361">
        <v>1</v>
      </c>
      <c r="U68" s="129">
        <v>920</v>
      </c>
      <c r="V68" s="120">
        <v>45186</v>
      </c>
      <c r="W68" s="115" t="s">
        <v>1477</v>
      </c>
      <c r="X68" s="115" t="s">
        <v>1154</v>
      </c>
      <c r="Y68" s="115"/>
      <c r="Z68" s="115"/>
      <c r="AA68" s="115"/>
      <c r="AD68" s="1151" t="s">
        <v>1652</v>
      </c>
    </row>
    <row r="69" spans="1:30" ht="13.2">
      <c r="A69" s="1148" t="s">
        <v>2743</v>
      </c>
      <c r="B69" s="1148" t="s">
        <v>2742</v>
      </c>
      <c r="C69" s="1149">
        <v>44702</v>
      </c>
      <c r="D69" s="1149">
        <v>44351</v>
      </c>
      <c r="E69" s="1158" t="s">
        <v>2744</v>
      </c>
      <c r="F69" s="1148"/>
      <c r="G69" s="1158" t="s">
        <v>2745</v>
      </c>
      <c r="H69" s="1148" t="s">
        <v>2746</v>
      </c>
      <c r="I69" s="1148" t="s">
        <v>18</v>
      </c>
      <c r="J69" s="1148" t="s">
        <v>51</v>
      </c>
      <c r="K69" s="1148"/>
      <c r="L69" s="1158" t="s">
        <v>2747</v>
      </c>
      <c r="M69" s="1148"/>
      <c r="N69" s="1151" t="s">
        <v>2748</v>
      </c>
      <c r="O69" s="1152">
        <f xml:space="preserve"> 1190*2+70+3*2*14</f>
        <v>2534</v>
      </c>
      <c r="P69" s="1148"/>
      <c r="Q69" s="1148" t="s">
        <v>2885</v>
      </c>
      <c r="R69" s="1501">
        <v>2</v>
      </c>
      <c r="S69" s="1150">
        <v>2</v>
      </c>
      <c r="T69" s="1150">
        <v>2</v>
      </c>
      <c r="U69" s="1157">
        <v>520</v>
      </c>
      <c r="V69" s="1155">
        <v>44111</v>
      </c>
      <c r="W69" s="1148" t="s">
        <v>2749</v>
      </c>
      <c r="X69" s="1148" t="s">
        <v>1154</v>
      </c>
      <c r="Y69" s="1148"/>
      <c r="Z69" s="1148"/>
      <c r="AA69" s="1148"/>
      <c r="AD69" s="121" t="s">
        <v>1652</v>
      </c>
    </row>
    <row r="70" spans="1:30" ht="13.2">
      <c r="A70" s="1439" t="s">
        <v>2743</v>
      </c>
      <c r="B70" s="1439" t="s">
        <v>2742</v>
      </c>
      <c r="C70" s="1440">
        <v>45066</v>
      </c>
      <c r="D70" s="1440">
        <v>45087</v>
      </c>
      <c r="E70" s="1441" t="s">
        <v>2744</v>
      </c>
      <c r="F70" s="1439"/>
      <c r="G70" s="1441" t="s">
        <v>2745</v>
      </c>
      <c r="H70" s="1439" t="s">
        <v>2746</v>
      </c>
      <c r="I70" s="1439" t="s">
        <v>18</v>
      </c>
      <c r="J70" s="1439" t="s">
        <v>51</v>
      </c>
      <c r="K70" s="1439"/>
      <c r="L70" s="1441" t="s">
        <v>2747</v>
      </c>
      <c r="M70" s="1439"/>
      <c r="N70" s="1446" t="s">
        <v>2748</v>
      </c>
      <c r="O70" s="1442">
        <f xml:space="preserve"> 1390+1390+1590</f>
        <v>4370</v>
      </c>
      <c r="P70" s="1439"/>
      <c r="Q70" s="1439" t="s">
        <v>3260</v>
      </c>
      <c r="R70" s="1511">
        <v>3</v>
      </c>
      <c r="S70" s="1443">
        <v>1</v>
      </c>
      <c r="T70" s="1443">
        <v>2</v>
      </c>
      <c r="U70" s="1444">
        <v>1000</v>
      </c>
      <c r="V70" s="1445">
        <v>44111</v>
      </c>
      <c r="W70" s="1439" t="s">
        <v>3208</v>
      </c>
      <c r="X70" s="1439" t="s">
        <v>1154</v>
      </c>
      <c r="Y70" s="1439" t="s">
        <v>3259</v>
      </c>
      <c r="Z70" s="1439"/>
      <c r="AA70" s="1439"/>
      <c r="AD70" s="128" t="s">
        <v>3642</v>
      </c>
    </row>
    <row r="71" spans="1:30" ht="13.2">
      <c r="A71" s="1148" t="s">
        <v>2743</v>
      </c>
      <c r="B71" s="1148" t="s">
        <v>2742</v>
      </c>
      <c r="C71" s="1149">
        <v>45444</v>
      </c>
      <c r="D71" s="1149">
        <v>45451</v>
      </c>
      <c r="E71" s="1158" t="s">
        <v>2744</v>
      </c>
      <c r="F71" s="1148"/>
      <c r="G71" s="1158" t="s">
        <v>2745</v>
      </c>
      <c r="H71" s="1148" t="s">
        <v>2746</v>
      </c>
      <c r="I71" s="1148" t="s">
        <v>18</v>
      </c>
      <c r="J71" s="1148" t="s">
        <v>51</v>
      </c>
      <c r="K71" s="1148"/>
      <c r="L71" s="1158" t="s">
        <v>2747</v>
      </c>
      <c r="M71" s="1148"/>
      <c r="N71" s="1151" t="s">
        <v>2748</v>
      </c>
      <c r="O71" s="1152">
        <v>0</v>
      </c>
      <c r="P71" s="1148"/>
      <c r="Q71" s="1148" t="s">
        <v>3470</v>
      </c>
      <c r="R71" s="1501">
        <v>0</v>
      </c>
      <c r="S71" s="1150">
        <v>2</v>
      </c>
      <c r="T71" s="1150">
        <v>2</v>
      </c>
      <c r="U71" s="1157">
        <v>400</v>
      </c>
      <c r="V71" s="1155" t="s">
        <v>3471</v>
      </c>
      <c r="W71" s="1148" t="s">
        <v>1519</v>
      </c>
      <c r="X71" s="1148" t="s">
        <v>1154</v>
      </c>
      <c r="Y71" s="1148" t="s">
        <v>3472</v>
      </c>
      <c r="Z71" s="1148"/>
      <c r="AA71" s="1148"/>
      <c r="AD71" s="1446" t="s">
        <v>3444</v>
      </c>
    </row>
    <row r="72" spans="1:30" s="923" customFormat="1">
      <c r="A72" s="757" t="s">
        <v>2496</v>
      </c>
      <c r="B72" s="757" t="s">
        <v>2495</v>
      </c>
      <c r="C72" s="758">
        <v>44033</v>
      </c>
      <c r="D72" s="758">
        <v>44047</v>
      </c>
      <c r="E72" s="757" t="s">
        <v>2497</v>
      </c>
      <c r="F72" s="757"/>
      <c r="G72" s="759" t="s">
        <v>2498</v>
      </c>
      <c r="H72" s="757" t="s">
        <v>2499</v>
      </c>
      <c r="I72" s="757" t="s">
        <v>18</v>
      </c>
      <c r="J72" s="757" t="s">
        <v>1023</v>
      </c>
      <c r="K72" s="757"/>
      <c r="L72" s="760" t="s">
        <v>2500</v>
      </c>
      <c r="M72" s="757"/>
      <c r="N72" s="897" t="s">
        <v>2501</v>
      </c>
      <c r="O72" s="761">
        <v>495</v>
      </c>
      <c r="P72" s="757">
        <v>4</v>
      </c>
      <c r="Q72" s="757" t="s">
        <v>2502</v>
      </c>
      <c r="R72" s="1491"/>
      <c r="S72" s="759">
        <v>4</v>
      </c>
      <c r="T72" s="759">
        <v>1</v>
      </c>
      <c r="U72" s="762">
        <v>995</v>
      </c>
      <c r="V72" s="763">
        <v>43863</v>
      </c>
      <c r="W72" s="757"/>
      <c r="X72" s="757" t="s">
        <v>1154</v>
      </c>
      <c r="Y72" s="757" t="s">
        <v>2572</v>
      </c>
      <c r="Z72" s="757"/>
      <c r="AA72" s="757"/>
      <c r="AD72" s="128" t="s">
        <v>2853</v>
      </c>
    </row>
    <row r="73" spans="1:30" s="900" customFormat="1">
      <c r="A73" s="1148" t="s">
        <v>2998</v>
      </c>
      <c r="B73" s="1148" t="s">
        <v>2999</v>
      </c>
      <c r="C73" s="1149">
        <v>44660</v>
      </c>
      <c r="D73" s="1149">
        <v>44688</v>
      </c>
      <c r="E73" s="1148" t="s">
        <v>3000</v>
      </c>
      <c r="F73" s="1148"/>
      <c r="G73" s="1150"/>
      <c r="H73" s="1148"/>
      <c r="I73" s="1148" t="s">
        <v>18</v>
      </c>
      <c r="J73" s="1148" t="s">
        <v>51</v>
      </c>
      <c r="K73" s="1148"/>
      <c r="L73" s="1156" t="s">
        <v>3002</v>
      </c>
      <c r="M73" s="1148"/>
      <c r="N73" s="1151" t="s">
        <v>3001</v>
      </c>
      <c r="O73" s="1152">
        <f>3760</f>
        <v>3760</v>
      </c>
      <c r="P73" s="1148"/>
      <c r="Q73" s="1148" t="s">
        <v>3003</v>
      </c>
      <c r="R73" s="1501">
        <v>4</v>
      </c>
      <c r="S73" s="1150">
        <v>5</v>
      </c>
      <c r="T73" s="1150">
        <v>2</v>
      </c>
      <c r="U73" s="1157">
        <f>O73/4</f>
        <v>940</v>
      </c>
      <c r="V73" s="1155">
        <v>44405</v>
      </c>
      <c r="W73" s="1148" t="s">
        <v>1338</v>
      </c>
      <c r="X73" s="1148" t="s">
        <v>1154</v>
      </c>
      <c r="Y73" s="1148" t="s">
        <v>3004</v>
      </c>
      <c r="Z73" s="1148"/>
      <c r="AA73" s="1148"/>
      <c r="AD73" s="128" t="s">
        <v>2438</v>
      </c>
    </row>
    <row r="74" spans="1:30" s="115" customFormat="1">
      <c r="A74" s="115" t="s">
        <v>2185</v>
      </c>
      <c r="B74" s="115" t="s">
        <v>2186</v>
      </c>
      <c r="C74" s="116">
        <v>43652</v>
      </c>
      <c r="D74" s="116">
        <v>43666</v>
      </c>
      <c r="E74" s="115" t="s">
        <v>2187</v>
      </c>
      <c r="G74" s="361" t="s">
        <v>2188</v>
      </c>
      <c r="H74" s="115" t="s">
        <v>2189</v>
      </c>
      <c r="I74" s="115" t="s">
        <v>18</v>
      </c>
      <c r="J74" s="115" t="s">
        <v>51</v>
      </c>
      <c r="L74" s="115" t="s">
        <v>2190</v>
      </c>
      <c r="N74" s="128" t="s">
        <v>2191</v>
      </c>
      <c r="O74" s="118">
        <f>1590+1990</f>
        <v>3580</v>
      </c>
      <c r="R74" s="1486">
        <v>2</v>
      </c>
      <c r="S74" s="361">
        <v>3</v>
      </c>
      <c r="T74" s="361">
        <v>1</v>
      </c>
      <c r="U74" s="598">
        <v>895</v>
      </c>
      <c r="V74" s="120">
        <v>43467</v>
      </c>
      <c r="W74" s="120" t="s">
        <v>1769</v>
      </c>
      <c r="X74" s="115" t="s">
        <v>1154</v>
      </c>
      <c r="AD74" s="897" t="s">
        <v>2501</v>
      </c>
    </row>
    <row r="75" spans="1:30" s="355" customFormat="1">
      <c r="A75" s="115" t="s">
        <v>2312</v>
      </c>
      <c r="B75" s="115" t="s">
        <v>2313</v>
      </c>
      <c r="C75" s="116">
        <v>43708</v>
      </c>
      <c r="D75" s="116">
        <v>43719</v>
      </c>
      <c r="E75" s="115" t="s">
        <v>2314</v>
      </c>
      <c r="F75" s="115"/>
      <c r="G75" s="361">
        <v>13467</v>
      </c>
      <c r="H75" s="935" t="s">
        <v>239</v>
      </c>
      <c r="I75" s="115" t="s">
        <v>18</v>
      </c>
      <c r="J75" s="115" t="s">
        <v>51</v>
      </c>
      <c r="K75" s="124"/>
      <c r="L75" s="124">
        <v>4915170062209</v>
      </c>
      <c r="M75" s="115"/>
      <c r="N75" s="128" t="s">
        <v>2315</v>
      </c>
      <c r="O75" s="118">
        <v>2384</v>
      </c>
      <c r="P75" s="115"/>
      <c r="Q75" s="115"/>
      <c r="R75" s="1486">
        <v>1.5</v>
      </c>
      <c r="S75" s="361">
        <v>4</v>
      </c>
      <c r="T75" s="361">
        <v>2</v>
      </c>
      <c r="U75" s="129">
        <v>596</v>
      </c>
      <c r="V75" s="120">
        <v>43622</v>
      </c>
      <c r="W75" s="115" t="s">
        <v>2316</v>
      </c>
      <c r="X75" s="115" t="s">
        <v>1217</v>
      </c>
      <c r="Y75" s="115"/>
      <c r="Z75" s="115"/>
      <c r="AA75" s="115"/>
      <c r="AD75" s="363" t="s">
        <v>2326</v>
      </c>
    </row>
    <row r="76" spans="1:30" s="973" customFormat="1">
      <c r="A76" s="115" t="s">
        <v>3604</v>
      </c>
      <c r="B76" s="115" t="s">
        <v>1133</v>
      </c>
      <c r="C76" s="116">
        <v>45633</v>
      </c>
      <c r="D76" s="116">
        <v>45661</v>
      </c>
      <c r="E76" s="935" t="s">
        <v>3605</v>
      </c>
      <c r="F76" s="115"/>
      <c r="G76" s="935" t="s">
        <v>3606</v>
      </c>
      <c r="H76" s="115" t="s">
        <v>2474</v>
      </c>
      <c r="I76" s="115" t="s">
        <v>18</v>
      </c>
      <c r="J76" s="115" t="s">
        <v>51</v>
      </c>
      <c r="K76" s="115"/>
      <c r="L76" s="935" t="s">
        <v>3607</v>
      </c>
      <c r="M76" s="115"/>
      <c r="N76" s="128" t="s">
        <v>3608</v>
      </c>
      <c r="O76" s="118">
        <f>1090+1090+1390+1390</f>
        <v>4960</v>
      </c>
      <c r="P76" s="115"/>
      <c r="Q76" s="115" t="s">
        <v>2674</v>
      </c>
      <c r="R76" s="1486">
        <v>4</v>
      </c>
      <c r="S76" s="361">
        <v>2</v>
      </c>
      <c r="T76" s="361">
        <v>1</v>
      </c>
      <c r="U76" s="129">
        <v>1240</v>
      </c>
      <c r="V76" s="120">
        <v>45180</v>
      </c>
      <c r="W76" s="115" t="s">
        <v>3609</v>
      </c>
      <c r="X76" s="115" t="s">
        <v>1154</v>
      </c>
      <c r="Y76" s="115"/>
      <c r="Z76" s="115"/>
      <c r="AA76" s="115"/>
      <c r="AD76" s="365" t="s">
        <v>2352</v>
      </c>
    </row>
    <row r="77" spans="1:30" s="115" customFormat="1" ht="13.2">
      <c r="A77" s="689" t="s">
        <v>3045</v>
      </c>
      <c r="B77" s="689" t="s">
        <v>596</v>
      </c>
      <c r="C77" s="690">
        <v>44527</v>
      </c>
      <c r="D77" s="690">
        <v>44541</v>
      </c>
      <c r="E77" s="692" t="s">
        <v>3046</v>
      </c>
      <c r="F77" s="689"/>
      <c r="G77" s="691" t="s">
        <v>3047</v>
      </c>
      <c r="H77" s="689" t="s">
        <v>3048</v>
      </c>
      <c r="I77" s="689" t="s">
        <v>18</v>
      </c>
      <c r="J77" s="689" t="s">
        <v>51</v>
      </c>
      <c r="K77" s="689"/>
      <c r="L77" s="693" t="s">
        <v>3050</v>
      </c>
      <c r="M77" s="689"/>
      <c r="N77" s="874" t="s">
        <v>3049</v>
      </c>
      <c r="O77" s="694"/>
      <c r="P77" s="689"/>
      <c r="Q77" s="689" t="s">
        <v>3051</v>
      </c>
      <c r="R77" s="1492"/>
      <c r="S77" s="691">
        <v>2</v>
      </c>
      <c r="T77" s="691">
        <v>2</v>
      </c>
      <c r="U77" s="697">
        <v>395</v>
      </c>
      <c r="V77" s="695">
        <v>44473</v>
      </c>
      <c r="W77" s="689" t="s">
        <v>1477</v>
      </c>
      <c r="X77" s="689" t="s">
        <v>1154</v>
      </c>
      <c r="Y77" s="689" t="s">
        <v>3052</v>
      </c>
      <c r="Z77" s="689"/>
      <c r="AA77" s="689"/>
      <c r="AD77" s="1446" t="s">
        <v>3479</v>
      </c>
    </row>
    <row r="78" spans="1:30" s="973" customFormat="1">
      <c r="A78" s="973" t="s">
        <v>3045</v>
      </c>
      <c r="B78" s="973" t="s">
        <v>596</v>
      </c>
      <c r="C78" s="974">
        <v>44632</v>
      </c>
      <c r="D78" s="974">
        <v>44646</v>
      </c>
      <c r="E78" s="1119" t="s">
        <v>3046</v>
      </c>
      <c r="G78" s="976" t="s">
        <v>3047</v>
      </c>
      <c r="H78" s="973" t="s">
        <v>3048</v>
      </c>
      <c r="I78" s="973" t="s">
        <v>18</v>
      </c>
      <c r="J78" s="973" t="s">
        <v>51</v>
      </c>
      <c r="L78" s="1099" t="s">
        <v>3050</v>
      </c>
      <c r="N78" s="1115" t="s">
        <v>3049</v>
      </c>
      <c r="O78" s="975">
        <f>790*2+200+70+84</f>
        <v>1934</v>
      </c>
      <c r="Q78" s="973" t="s">
        <v>717</v>
      </c>
      <c r="R78" s="1498">
        <v>2</v>
      </c>
      <c r="S78" s="976">
        <v>2</v>
      </c>
      <c r="T78" s="976">
        <v>2</v>
      </c>
      <c r="U78" s="977">
        <v>395</v>
      </c>
      <c r="V78" s="978">
        <v>44473</v>
      </c>
      <c r="W78" s="973" t="s">
        <v>1477</v>
      </c>
      <c r="X78" s="973" t="s">
        <v>1154</v>
      </c>
      <c r="Y78" s="973" t="s">
        <v>3189</v>
      </c>
      <c r="AD78" s="128" t="s">
        <v>3658</v>
      </c>
    </row>
    <row r="79" spans="1:30" s="115" customFormat="1" ht="12" customHeight="1">
      <c r="A79" s="1418" t="s">
        <v>3045</v>
      </c>
      <c r="B79" s="1418" t="s">
        <v>596</v>
      </c>
      <c r="C79" s="1419">
        <v>44996</v>
      </c>
      <c r="D79" s="1419">
        <v>45017</v>
      </c>
      <c r="E79" s="1418" t="s">
        <v>3046</v>
      </c>
      <c r="F79" s="1418"/>
      <c r="G79" s="1420" t="s">
        <v>3047</v>
      </c>
      <c r="H79" s="1418" t="s">
        <v>3048</v>
      </c>
      <c r="I79" s="1418" t="s">
        <v>18</v>
      </c>
      <c r="J79" s="1418" t="s">
        <v>51</v>
      </c>
      <c r="K79" s="1418"/>
      <c r="L79" s="1421" t="s">
        <v>3050</v>
      </c>
      <c r="M79" s="1418"/>
      <c r="N79" s="1422" t="s">
        <v>3049</v>
      </c>
      <c r="O79" s="1423">
        <f>818+2648</f>
        <v>3466</v>
      </c>
      <c r="P79" s="1418"/>
      <c r="Q79" s="1418" t="s">
        <v>717</v>
      </c>
      <c r="R79" s="1509">
        <v>3</v>
      </c>
      <c r="S79" s="1420">
        <v>2</v>
      </c>
      <c r="T79" s="1420">
        <v>2</v>
      </c>
      <c r="U79" s="1773">
        <v>818</v>
      </c>
      <c r="V79" s="1425">
        <v>44670</v>
      </c>
      <c r="W79" s="1418" t="s">
        <v>3208</v>
      </c>
      <c r="X79" s="1418" t="s">
        <v>1154</v>
      </c>
      <c r="Y79" s="1418"/>
      <c r="Z79" s="1418"/>
      <c r="AA79" s="1418"/>
      <c r="AD79" s="128" t="s">
        <v>2191</v>
      </c>
    </row>
    <row r="80" spans="1:30" s="115" customFormat="1">
      <c r="A80" s="1061" t="s">
        <v>3127</v>
      </c>
      <c r="B80" s="1061" t="s">
        <v>3128</v>
      </c>
      <c r="C80" s="1062">
        <v>44744</v>
      </c>
      <c r="D80" s="1062">
        <v>44758</v>
      </c>
      <c r="E80" s="1061" t="s">
        <v>3129</v>
      </c>
      <c r="F80" s="1061"/>
      <c r="G80" s="1063" t="s">
        <v>3130</v>
      </c>
      <c r="H80" s="1061" t="s">
        <v>842</v>
      </c>
      <c r="I80" s="1061" t="s">
        <v>944</v>
      </c>
      <c r="J80" s="1061" t="s">
        <v>51</v>
      </c>
      <c r="K80" s="1061"/>
      <c r="L80" s="1064" t="s">
        <v>3131</v>
      </c>
      <c r="M80" s="1061"/>
      <c r="N80" s="850" t="s">
        <v>3132</v>
      </c>
      <c r="O80" s="1065"/>
      <c r="P80" s="1061"/>
      <c r="Q80" s="1061" t="s">
        <v>3133</v>
      </c>
      <c r="R80" s="1503"/>
      <c r="S80" s="1063">
        <v>2</v>
      </c>
      <c r="T80" s="1063">
        <v>1</v>
      </c>
      <c r="U80" s="1066">
        <v>995</v>
      </c>
      <c r="V80" s="1067">
        <v>44570</v>
      </c>
      <c r="W80" s="1061" t="s">
        <v>1338</v>
      </c>
      <c r="X80" s="1061" t="s">
        <v>1154</v>
      </c>
      <c r="Y80" s="1061" t="s">
        <v>3135</v>
      </c>
      <c r="Z80" s="1061"/>
      <c r="AA80" s="1061" t="s">
        <v>3134</v>
      </c>
      <c r="AD80" s="128" t="s">
        <v>3579</v>
      </c>
    </row>
    <row r="81" spans="1:30" s="115" customFormat="1">
      <c r="A81" s="115" t="s">
        <v>2848</v>
      </c>
      <c r="B81" s="115" t="s">
        <v>2849</v>
      </c>
      <c r="C81" s="116">
        <v>44415</v>
      </c>
      <c r="D81" s="116">
        <v>44429</v>
      </c>
      <c r="E81" s="935" t="s">
        <v>2850</v>
      </c>
      <c r="G81" s="935" t="s">
        <v>2851</v>
      </c>
      <c r="H81" s="115" t="s">
        <v>2605</v>
      </c>
      <c r="I81" s="115" t="s">
        <v>18</v>
      </c>
      <c r="J81" s="115" t="s">
        <v>51</v>
      </c>
      <c r="L81" s="935" t="s">
        <v>2852</v>
      </c>
      <c r="N81" s="128" t="s">
        <v>2853</v>
      </c>
      <c r="O81" s="118">
        <f>1990*2</f>
        <v>3980</v>
      </c>
      <c r="Q81" s="115" t="s">
        <v>2424</v>
      </c>
      <c r="R81" s="1486">
        <v>2</v>
      </c>
      <c r="S81" s="361">
        <v>2</v>
      </c>
      <c r="T81" s="361">
        <v>1</v>
      </c>
      <c r="U81" s="129">
        <v>995</v>
      </c>
      <c r="V81" s="120"/>
      <c r="AD81" s="874"/>
    </row>
    <row r="82" spans="1:30" s="498" customFormat="1" ht="13.2">
      <c r="A82" s="355" t="s">
        <v>3220</v>
      </c>
      <c r="B82" s="355" t="s">
        <v>3221</v>
      </c>
      <c r="C82" s="357">
        <v>44835</v>
      </c>
      <c r="D82" s="357">
        <v>44842</v>
      </c>
      <c r="E82" s="367" t="s">
        <v>3222</v>
      </c>
      <c r="F82" s="355"/>
      <c r="G82" s="358" t="s">
        <v>3223</v>
      </c>
      <c r="H82" s="355" t="s">
        <v>720</v>
      </c>
      <c r="I82" s="355" t="s">
        <v>18</v>
      </c>
      <c r="J82" s="355" t="s">
        <v>51</v>
      </c>
      <c r="K82" s="355" t="s">
        <v>3225</v>
      </c>
      <c r="L82" s="355" t="s">
        <v>3224</v>
      </c>
      <c r="M82" s="355"/>
      <c r="N82" s="401" t="s">
        <v>3226</v>
      </c>
      <c r="O82" s="359">
        <f>1190+48+70</f>
        <v>1308</v>
      </c>
      <c r="P82" s="355"/>
      <c r="Q82" s="355" t="s">
        <v>3329</v>
      </c>
      <c r="R82" s="1487">
        <v>1</v>
      </c>
      <c r="S82" s="358">
        <v>2</v>
      </c>
      <c r="T82" s="358">
        <v>2</v>
      </c>
      <c r="U82" s="417">
        <v>297.5</v>
      </c>
      <c r="V82" s="360">
        <v>44835</v>
      </c>
      <c r="W82" s="355" t="s">
        <v>1338</v>
      </c>
      <c r="X82" s="355" t="s">
        <v>1154</v>
      </c>
      <c r="Y82" s="355"/>
      <c r="Z82" s="355"/>
      <c r="AA82" s="355"/>
      <c r="AD82" s="1458"/>
    </row>
    <row r="83" spans="1:30" s="1003" customFormat="1" ht="13.2">
      <c r="A83" s="1447" t="s">
        <v>3484</v>
      </c>
      <c r="B83" s="1447" t="s">
        <v>2793</v>
      </c>
      <c r="C83" s="1448">
        <v>45017</v>
      </c>
      <c r="D83" s="1448">
        <v>45024</v>
      </c>
      <c r="E83" s="1447" t="s">
        <v>2796</v>
      </c>
      <c r="F83" s="1447"/>
      <c r="G83" s="1449" t="s">
        <v>2798</v>
      </c>
      <c r="H83" s="1447" t="s">
        <v>2797</v>
      </c>
      <c r="I83" s="1447" t="s">
        <v>18</v>
      </c>
      <c r="J83" s="1447" t="s">
        <v>51</v>
      </c>
      <c r="K83" s="1447" t="s">
        <v>2794</v>
      </c>
      <c r="L83" s="1450" t="s">
        <v>2799</v>
      </c>
      <c r="M83" s="1447"/>
      <c r="N83" s="1446" t="s">
        <v>2795</v>
      </c>
      <c r="O83" s="1451">
        <f>1190+70+42</f>
        <v>1302</v>
      </c>
      <c r="P83" s="1447"/>
      <c r="Q83" s="1447" t="s">
        <v>717</v>
      </c>
      <c r="R83" s="1510">
        <v>1</v>
      </c>
      <c r="S83" s="1449">
        <v>2</v>
      </c>
      <c r="T83" s="1449">
        <v>2</v>
      </c>
      <c r="U83" s="1452">
        <v>297.5</v>
      </c>
      <c r="V83" s="1453">
        <v>44933</v>
      </c>
      <c r="W83" s="1447" t="s">
        <v>1477</v>
      </c>
      <c r="X83" s="1447" t="s">
        <v>1154</v>
      </c>
      <c r="Y83" s="1447" t="s">
        <v>3447</v>
      </c>
      <c r="Z83" s="1447"/>
      <c r="AA83" s="1447"/>
      <c r="AD83" s="1446"/>
    </row>
    <row r="84" spans="1:30" s="115" customFormat="1">
      <c r="A84" s="946" t="s">
        <v>2792</v>
      </c>
      <c r="B84" s="946" t="s">
        <v>2793</v>
      </c>
      <c r="C84" s="947">
        <v>44282</v>
      </c>
      <c r="D84" s="947">
        <v>44289</v>
      </c>
      <c r="E84" s="946" t="s">
        <v>2796</v>
      </c>
      <c r="F84" s="946"/>
      <c r="G84" s="948" t="s">
        <v>2798</v>
      </c>
      <c r="H84" s="946" t="s">
        <v>2797</v>
      </c>
      <c r="I84" s="946" t="s">
        <v>18</v>
      </c>
      <c r="J84" s="946" t="s">
        <v>51</v>
      </c>
      <c r="K84" s="946" t="s">
        <v>2794</v>
      </c>
      <c r="L84" s="949" t="s">
        <v>2799</v>
      </c>
      <c r="M84" s="946"/>
      <c r="N84" s="875" t="s">
        <v>2795</v>
      </c>
      <c r="O84" s="950">
        <v>890</v>
      </c>
      <c r="P84" s="946"/>
      <c r="Q84" s="946" t="s">
        <v>717</v>
      </c>
      <c r="R84" s="1493">
        <v>1</v>
      </c>
      <c r="S84" s="948">
        <v>2</v>
      </c>
      <c r="T84" s="948">
        <v>2</v>
      </c>
      <c r="U84" s="951">
        <v>222.5</v>
      </c>
      <c r="V84" s="952">
        <v>44172</v>
      </c>
      <c r="W84" s="946" t="s">
        <v>1477</v>
      </c>
      <c r="X84" s="946" t="s">
        <v>1154</v>
      </c>
      <c r="Y84" s="946"/>
      <c r="Z84" s="946"/>
      <c r="AA84" s="946"/>
      <c r="AD84" s="874"/>
    </row>
    <row r="85" spans="1:30" s="115" customFormat="1">
      <c r="A85" s="1160" t="s">
        <v>2723</v>
      </c>
      <c r="B85" s="1160" t="s">
        <v>2722</v>
      </c>
      <c r="C85" s="1161">
        <v>44730</v>
      </c>
      <c r="D85" s="1161">
        <v>44744</v>
      </c>
      <c r="E85" s="1160"/>
      <c r="F85" s="1160"/>
      <c r="G85" s="1162"/>
      <c r="H85" s="1160"/>
      <c r="I85" s="1160" t="s">
        <v>18</v>
      </c>
      <c r="J85" s="1160" t="s">
        <v>51</v>
      </c>
      <c r="K85" s="1160"/>
      <c r="L85" s="1163" t="s">
        <v>2724</v>
      </c>
      <c r="M85" s="1160"/>
      <c r="N85" s="1164" t="s">
        <v>2725</v>
      </c>
      <c r="O85" s="1165">
        <f>1590+1990+70+50</f>
        <v>3700</v>
      </c>
      <c r="P85" s="1160"/>
      <c r="Q85" s="1160" t="s">
        <v>717</v>
      </c>
      <c r="R85" s="1502">
        <v>2</v>
      </c>
      <c r="S85" s="1162">
        <v>2</v>
      </c>
      <c r="T85" s="1162">
        <v>2</v>
      </c>
      <c r="U85" s="1166">
        <v>800</v>
      </c>
      <c r="V85" s="1167">
        <v>44457</v>
      </c>
      <c r="W85" s="1160" t="s">
        <v>1477</v>
      </c>
      <c r="X85" s="1160" t="s">
        <v>1154</v>
      </c>
      <c r="Y85" s="1160"/>
      <c r="Z85" s="1160"/>
      <c r="AA85" s="1160"/>
      <c r="AD85" s="1115"/>
    </row>
    <row r="86" spans="1:30" s="939" customFormat="1">
      <c r="A86" s="115" t="s">
        <v>2480</v>
      </c>
      <c r="B86" s="115" t="s">
        <v>2481</v>
      </c>
      <c r="C86" s="116">
        <v>44051</v>
      </c>
      <c r="D86" s="116">
        <v>44058</v>
      </c>
      <c r="E86" s="115" t="s">
        <v>2482</v>
      </c>
      <c r="F86" s="115"/>
      <c r="G86" s="361" t="s">
        <v>2483</v>
      </c>
      <c r="H86" s="115" t="s">
        <v>2484</v>
      </c>
      <c r="I86" s="115" t="s">
        <v>18</v>
      </c>
      <c r="J86" s="115" t="s">
        <v>1023</v>
      </c>
      <c r="K86" s="115"/>
      <c r="L86" s="124" t="s">
        <v>2485</v>
      </c>
      <c r="M86" s="115"/>
      <c r="N86" s="128" t="s">
        <v>2486</v>
      </c>
      <c r="O86" s="118">
        <v>1990</v>
      </c>
      <c r="P86" s="115"/>
      <c r="Q86" s="115" t="s">
        <v>2487</v>
      </c>
      <c r="R86" s="1486">
        <v>1</v>
      </c>
      <c r="S86" s="361">
        <v>4</v>
      </c>
      <c r="T86" s="361">
        <v>1</v>
      </c>
      <c r="U86" s="129">
        <v>497.5</v>
      </c>
      <c r="V86" s="120"/>
      <c r="W86" s="115"/>
      <c r="X86" s="115"/>
      <c r="Y86" s="115"/>
      <c r="Z86" s="115"/>
      <c r="AA86" s="115"/>
      <c r="AD86" s="128"/>
    </row>
    <row r="87" spans="1:30" s="689" customFormat="1">
      <c r="A87" s="973" t="s">
        <v>2923</v>
      </c>
      <c r="B87" s="973" t="s">
        <v>2924</v>
      </c>
      <c r="C87" s="974">
        <v>44429</v>
      </c>
      <c r="D87" s="974">
        <v>44436</v>
      </c>
      <c r="E87" s="979"/>
      <c r="F87" s="973"/>
      <c r="G87" s="979"/>
      <c r="H87" s="973"/>
      <c r="I87" s="973" t="s">
        <v>18</v>
      </c>
      <c r="J87" s="973" t="s">
        <v>51</v>
      </c>
      <c r="K87" s="973"/>
      <c r="L87" s="973" t="s">
        <v>2926</v>
      </c>
      <c r="M87" s="973"/>
      <c r="N87" s="1115" t="s">
        <v>2925</v>
      </c>
      <c r="O87" s="975"/>
      <c r="P87" s="973"/>
      <c r="Q87" s="973" t="s">
        <v>2957</v>
      </c>
      <c r="R87" s="1498">
        <v>0</v>
      </c>
      <c r="S87" s="976">
        <v>4</v>
      </c>
      <c r="T87" s="976">
        <v>1</v>
      </c>
      <c r="U87" s="977"/>
      <c r="V87" s="978">
        <v>44317</v>
      </c>
      <c r="W87" s="973" t="s">
        <v>2891</v>
      </c>
      <c r="X87" s="973" t="s">
        <v>1154</v>
      </c>
      <c r="Y87" s="973"/>
      <c r="Z87" s="973"/>
      <c r="AA87" s="973"/>
      <c r="AD87" s="1007"/>
    </row>
    <row r="88" spans="1:30" s="1003" customFormat="1">
      <c r="A88" s="1148" t="s">
        <v>3072</v>
      </c>
      <c r="B88" s="1148" t="s">
        <v>1962</v>
      </c>
      <c r="C88" s="1149">
        <v>44779</v>
      </c>
      <c r="D88" s="1149">
        <v>44793</v>
      </c>
      <c r="E88" s="1158" t="s">
        <v>3073</v>
      </c>
      <c r="F88" s="1148"/>
      <c r="G88" s="1158" t="s">
        <v>3075</v>
      </c>
      <c r="H88" s="1148" t="s">
        <v>3074</v>
      </c>
      <c r="I88" s="1148" t="s">
        <v>1775</v>
      </c>
      <c r="J88" s="1148" t="s">
        <v>51</v>
      </c>
      <c r="K88" s="1148"/>
      <c r="L88" s="1158" t="s">
        <v>3076</v>
      </c>
      <c r="M88" s="1148"/>
      <c r="N88" s="1151" t="s">
        <v>3071</v>
      </c>
      <c r="O88" s="1190">
        <f>1990*2+70</f>
        <v>4050</v>
      </c>
      <c r="P88" s="1148"/>
      <c r="Q88" s="1148" t="s">
        <v>1401</v>
      </c>
      <c r="R88" s="1501">
        <v>2</v>
      </c>
      <c r="S88" s="1150">
        <v>4</v>
      </c>
      <c r="T88" s="1150">
        <v>1</v>
      </c>
      <c r="U88" s="1157">
        <v>1000</v>
      </c>
      <c r="V88" s="1155">
        <v>44508</v>
      </c>
      <c r="W88" s="1148" t="s">
        <v>1665</v>
      </c>
      <c r="X88" s="1148" t="s">
        <v>1154</v>
      </c>
      <c r="Y88" s="1148"/>
      <c r="Z88" s="1148"/>
      <c r="AA88" s="1148"/>
      <c r="AD88" s="875"/>
    </row>
    <row r="89" spans="1:30" ht="13.8" thickBot="1">
      <c r="A89" s="900" t="s">
        <v>3351</v>
      </c>
      <c r="B89" s="900" t="s">
        <v>3352</v>
      </c>
      <c r="C89" s="901">
        <v>45248</v>
      </c>
      <c r="D89" s="901">
        <v>45255</v>
      </c>
      <c r="E89" s="1110" t="s">
        <v>3353</v>
      </c>
      <c r="F89" s="900"/>
      <c r="G89" s="902" t="s">
        <v>3354</v>
      </c>
      <c r="H89" s="900" t="s">
        <v>3355</v>
      </c>
      <c r="I89" s="900" t="s">
        <v>168</v>
      </c>
      <c r="J89" s="900" t="s">
        <v>51</v>
      </c>
      <c r="K89" s="900"/>
      <c r="L89" s="900" t="s">
        <v>3356</v>
      </c>
      <c r="M89" s="900"/>
      <c r="N89" s="1480" t="s">
        <v>3357</v>
      </c>
      <c r="O89" s="904">
        <f>1090-790</f>
        <v>300</v>
      </c>
      <c r="P89" s="900"/>
      <c r="Q89" s="900" t="s">
        <v>1321</v>
      </c>
      <c r="R89" s="1497">
        <v>0</v>
      </c>
      <c r="S89" s="902">
        <v>2</v>
      </c>
      <c r="T89" s="902">
        <v>3</v>
      </c>
      <c r="U89" s="1481">
        <v>300</v>
      </c>
      <c r="V89" s="907">
        <v>44893</v>
      </c>
      <c r="W89" s="900" t="s">
        <v>3358</v>
      </c>
      <c r="X89" s="900" t="s">
        <v>1154</v>
      </c>
      <c r="Y89" s="900" t="s">
        <v>3359</v>
      </c>
      <c r="Z89" s="900"/>
      <c r="AA89" s="900"/>
      <c r="AD89" s="1007"/>
    </row>
    <row r="90" spans="1:30" ht="13.8" thickBot="1">
      <c r="A90" s="517" t="s">
        <v>2373</v>
      </c>
      <c r="B90" s="539" t="s">
        <v>2374</v>
      </c>
      <c r="C90" s="116">
        <v>43827</v>
      </c>
      <c r="D90" s="651">
        <v>43834</v>
      </c>
      <c r="E90" s="539" t="s">
        <v>2375</v>
      </c>
      <c r="F90" s="115"/>
      <c r="G90" s="361">
        <v>4060</v>
      </c>
      <c r="H90" s="115" t="s">
        <v>2376</v>
      </c>
      <c r="I90" s="115" t="s">
        <v>1775</v>
      </c>
      <c r="J90" s="115" t="s">
        <v>51</v>
      </c>
      <c r="K90" s="115"/>
      <c r="L90" s="124" t="s">
        <v>2377</v>
      </c>
      <c r="M90" s="115"/>
      <c r="N90" s="128" t="s">
        <v>2378</v>
      </c>
      <c r="O90" s="118">
        <v>1190</v>
      </c>
      <c r="P90" s="115"/>
      <c r="Q90" s="115"/>
      <c r="R90" s="1486">
        <v>1</v>
      </c>
      <c r="S90" s="361">
        <v>2</v>
      </c>
      <c r="T90" s="361">
        <v>1</v>
      </c>
      <c r="U90" s="129">
        <v>297.5</v>
      </c>
      <c r="V90" s="120">
        <v>43746</v>
      </c>
      <c r="W90" s="115" t="s">
        <v>1477</v>
      </c>
      <c r="X90" s="115" t="s">
        <v>1154</v>
      </c>
      <c r="Y90" s="115"/>
      <c r="Z90" s="115"/>
      <c r="AA90" s="115"/>
      <c r="AD90" s="1480"/>
    </row>
    <row r="91" spans="1:30" ht="10.8" thickBot="1">
      <c r="A91" s="1258" t="s">
        <v>2887</v>
      </c>
      <c r="B91" s="1755" t="s">
        <v>2888</v>
      </c>
      <c r="C91" s="1300">
        <v>44298</v>
      </c>
      <c r="D91" s="1314">
        <v>44310</v>
      </c>
      <c r="E91" s="1333"/>
      <c r="F91" s="408"/>
      <c r="G91" s="410"/>
      <c r="H91" s="408"/>
      <c r="I91" s="408" t="s">
        <v>23</v>
      </c>
      <c r="J91" s="408" t="s">
        <v>19</v>
      </c>
      <c r="K91" s="408"/>
      <c r="L91" s="412" t="s">
        <v>2889</v>
      </c>
      <c r="M91" s="408"/>
      <c r="N91" s="953"/>
      <c r="O91" s="414">
        <v>1735.24</v>
      </c>
      <c r="P91" s="408"/>
      <c r="Q91" s="408" t="s">
        <v>2890</v>
      </c>
      <c r="R91" s="1495">
        <v>2</v>
      </c>
      <c r="S91" s="410">
        <v>5</v>
      </c>
      <c r="T91" s="410">
        <v>1</v>
      </c>
      <c r="U91" s="415"/>
      <c r="V91" s="416"/>
      <c r="W91" s="408" t="s">
        <v>2891</v>
      </c>
      <c r="X91" s="408" t="s">
        <v>1154</v>
      </c>
      <c r="Y91" s="408"/>
      <c r="Z91" s="408"/>
      <c r="AA91" s="408"/>
    </row>
    <row r="92" spans="1:30" ht="10.8" thickBot="1">
      <c r="A92" s="355" t="s">
        <v>2878</v>
      </c>
      <c r="B92" s="355" t="s">
        <v>2879</v>
      </c>
      <c r="C92" s="357">
        <v>44254</v>
      </c>
      <c r="D92" s="565">
        <v>44261</v>
      </c>
      <c r="E92" s="1769" t="s">
        <v>2880</v>
      </c>
      <c r="F92" s="355"/>
      <c r="G92" s="1109">
        <v>35200</v>
      </c>
      <c r="H92" s="355" t="s">
        <v>2881</v>
      </c>
      <c r="I92" s="355" t="s">
        <v>23</v>
      </c>
      <c r="J92" s="355" t="s">
        <v>19</v>
      </c>
      <c r="K92" s="355"/>
      <c r="L92" s="934" t="s">
        <v>2882</v>
      </c>
      <c r="M92" s="355"/>
      <c r="N92" s="365" t="s">
        <v>2883</v>
      </c>
      <c r="O92" s="359">
        <v>790</v>
      </c>
      <c r="P92" s="355"/>
      <c r="Q92" s="355" t="s">
        <v>1401</v>
      </c>
      <c r="R92" s="1487">
        <v>1</v>
      </c>
      <c r="S92" s="358">
        <v>4</v>
      </c>
      <c r="T92" s="358">
        <v>0</v>
      </c>
      <c r="U92" s="417"/>
      <c r="V92" s="360">
        <v>44250</v>
      </c>
      <c r="W92" s="355" t="s">
        <v>2884</v>
      </c>
      <c r="X92" s="355" t="s">
        <v>1154</v>
      </c>
      <c r="Y92" s="355"/>
      <c r="Z92" s="355"/>
      <c r="AA92" s="355"/>
    </row>
    <row r="93" spans="1:30" ht="10.8" thickBot="1">
      <c r="A93" s="517" t="s">
        <v>2457</v>
      </c>
      <c r="B93" s="539" t="s">
        <v>2456</v>
      </c>
      <c r="C93" s="116">
        <v>44079</v>
      </c>
      <c r="D93" s="561">
        <v>44093</v>
      </c>
      <c r="E93" s="543" t="s">
        <v>2458</v>
      </c>
      <c r="F93" s="115"/>
      <c r="G93" s="361" t="s">
        <v>2459</v>
      </c>
      <c r="H93" s="115" t="s">
        <v>2460</v>
      </c>
      <c r="I93" s="115" t="s">
        <v>18</v>
      </c>
      <c r="J93" s="115" t="s">
        <v>19</v>
      </c>
      <c r="K93" s="115" t="s">
        <v>2462</v>
      </c>
      <c r="L93" s="124" t="s">
        <v>2461</v>
      </c>
      <c r="M93" s="115"/>
      <c r="N93" s="128" t="s">
        <v>2463</v>
      </c>
      <c r="O93" s="118">
        <f>1590*2</f>
        <v>3180</v>
      </c>
      <c r="P93" s="115"/>
      <c r="Q93" s="115" t="s">
        <v>2464</v>
      </c>
      <c r="R93" s="1486">
        <v>2</v>
      </c>
      <c r="S93" s="361">
        <v>2</v>
      </c>
      <c r="T93" s="361">
        <v>1</v>
      </c>
      <c r="U93" s="129">
        <v>795</v>
      </c>
      <c r="V93" s="120">
        <v>43844</v>
      </c>
      <c r="W93" s="115" t="s">
        <v>1477</v>
      </c>
      <c r="X93" s="115" t="s">
        <v>1154</v>
      </c>
      <c r="Y93" s="115"/>
      <c r="Z93" s="115"/>
      <c r="AA93" s="115"/>
      <c r="AD93" s="115"/>
    </row>
    <row r="94" spans="1:30" ht="10.8" thickBot="1">
      <c r="A94" s="521" t="s">
        <v>2457</v>
      </c>
      <c r="B94" s="542" t="s">
        <v>2456</v>
      </c>
      <c r="C94" s="116">
        <v>44457</v>
      </c>
      <c r="D94" s="561">
        <v>44471</v>
      </c>
      <c r="E94" s="543" t="s">
        <v>2458</v>
      </c>
      <c r="F94" s="115"/>
      <c r="G94" s="361" t="s">
        <v>2459</v>
      </c>
      <c r="H94" s="115" t="s">
        <v>2460</v>
      </c>
      <c r="I94" s="115" t="s">
        <v>18</v>
      </c>
      <c r="J94" s="115" t="s">
        <v>19</v>
      </c>
      <c r="K94" s="115" t="s">
        <v>2462</v>
      </c>
      <c r="L94" s="124" t="s">
        <v>2461</v>
      </c>
      <c r="M94" s="115"/>
      <c r="N94" s="128" t="s">
        <v>2463</v>
      </c>
      <c r="O94" s="118">
        <f>1290*2</f>
        <v>2580</v>
      </c>
      <c r="P94" s="115"/>
      <c r="Q94" s="115" t="s">
        <v>2464</v>
      </c>
      <c r="R94" s="1486">
        <v>2</v>
      </c>
      <c r="S94" s="361">
        <v>2</v>
      </c>
      <c r="T94" s="361">
        <v>1</v>
      </c>
      <c r="U94" s="129">
        <f>O94/4</f>
        <v>645</v>
      </c>
      <c r="V94" s="120">
        <v>43844</v>
      </c>
      <c r="W94" s="115" t="s">
        <v>1477</v>
      </c>
      <c r="X94" s="115" t="s">
        <v>1154</v>
      </c>
      <c r="Y94" s="115" t="s">
        <v>2734</v>
      </c>
      <c r="Z94" s="115"/>
      <c r="AA94" s="115"/>
      <c r="AD94" s="115"/>
    </row>
    <row r="95" spans="1:30" ht="13.8" thickBot="1">
      <c r="A95" s="505" t="s">
        <v>2959</v>
      </c>
      <c r="B95" s="543" t="s">
        <v>2958</v>
      </c>
      <c r="C95" s="116">
        <v>44429</v>
      </c>
      <c r="D95" s="568">
        <v>44436</v>
      </c>
      <c r="E95" s="535" t="s">
        <v>1064</v>
      </c>
      <c r="F95" s="115"/>
      <c r="G95" s="361" t="s">
        <v>1065</v>
      </c>
      <c r="H95" s="115" t="s">
        <v>54</v>
      </c>
      <c r="I95" s="115" t="s">
        <v>54</v>
      </c>
      <c r="J95" s="115" t="s">
        <v>19</v>
      </c>
      <c r="K95" s="115"/>
      <c r="L95" s="115" t="s">
        <v>1066</v>
      </c>
      <c r="M95" s="115"/>
      <c r="N95" s="363" t="s">
        <v>1068</v>
      </c>
      <c r="O95" s="118">
        <v>1990</v>
      </c>
      <c r="P95" s="115"/>
      <c r="Q95" s="115" t="s">
        <v>1808</v>
      </c>
      <c r="R95" s="1486">
        <v>1</v>
      </c>
      <c r="S95" s="361" t="s">
        <v>2960</v>
      </c>
      <c r="T95" s="361">
        <v>1</v>
      </c>
      <c r="U95" s="598"/>
      <c r="V95" s="120">
        <v>44370</v>
      </c>
      <c r="W95" s="115" t="s">
        <v>1519</v>
      </c>
      <c r="X95" s="115" t="s">
        <v>1154</v>
      </c>
      <c r="Y95" s="115"/>
      <c r="Z95" s="115"/>
      <c r="AA95" s="115"/>
      <c r="AB95" s="1458" t="s">
        <v>3509</v>
      </c>
      <c r="AD95" s="355"/>
    </row>
    <row r="96" spans="1:30" ht="13.2">
      <c r="A96" s="115" t="s">
        <v>3884</v>
      </c>
      <c r="B96" s="115" t="s">
        <v>23</v>
      </c>
      <c r="C96" s="116">
        <v>45556</v>
      </c>
      <c r="D96" s="116">
        <v>45563</v>
      </c>
      <c r="E96" s="115" t="s">
        <v>3885</v>
      </c>
      <c r="F96" s="115"/>
      <c r="G96" s="361" t="s">
        <v>3886</v>
      </c>
      <c r="H96" s="115" t="s">
        <v>54</v>
      </c>
      <c r="I96" s="115" t="s">
        <v>54</v>
      </c>
      <c r="J96" s="115" t="s">
        <v>19</v>
      </c>
      <c r="K96" s="115"/>
      <c r="L96" s="115" t="s">
        <v>3887</v>
      </c>
      <c r="M96" s="115"/>
      <c r="N96" s="121" t="s">
        <v>3888</v>
      </c>
      <c r="O96" s="118">
        <v>1590</v>
      </c>
      <c r="P96" s="115"/>
      <c r="Q96" s="115" t="s">
        <v>2674</v>
      </c>
      <c r="R96" s="1486">
        <v>1</v>
      </c>
      <c r="S96" s="361">
        <v>2</v>
      </c>
      <c r="T96" s="361">
        <v>1</v>
      </c>
      <c r="U96" s="598">
        <v>397.5</v>
      </c>
      <c r="V96" s="120">
        <v>45333</v>
      </c>
      <c r="W96" s="115"/>
      <c r="X96" s="115" t="s">
        <v>1154</v>
      </c>
      <c r="Y96" s="115"/>
      <c r="Z96" s="115"/>
      <c r="AA96" s="115"/>
      <c r="AB96" s="1446" t="s">
        <v>2847</v>
      </c>
      <c r="AD96" s="115"/>
    </row>
    <row r="97" spans="1:30">
      <c r="A97" s="355" t="s">
        <v>2863</v>
      </c>
      <c r="B97" s="355" t="s">
        <v>2264</v>
      </c>
      <c r="C97" s="357">
        <v>44604</v>
      </c>
      <c r="D97" s="357">
        <v>44611</v>
      </c>
      <c r="E97" s="355" t="s">
        <v>3145</v>
      </c>
      <c r="F97" s="355"/>
      <c r="G97" s="358" t="s">
        <v>3146</v>
      </c>
      <c r="H97" s="355" t="s">
        <v>3147</v>
      </c>
      <c r="I97" s="355" t="s">
        <v>54</v>
      </c>
      <c r="J97" s="355" t="s">
        <v>19</v>
      </c>
      <c r="K97" s="368"/>
      <c r="L97" s="355" t="s">
        <v>2864</v>
      </c>
      <c r="M97" s="355"/>
      <c r="N97" s="365" t="s">
        <v>2865</v>
      </c>
      <c r="O97" s="1036">
        <f>890+3*3*7+70</f>
        <v>1023</v>
      </c>
      <c r="P97" s="355"/>
      <c r="Q97" s="355" t="s">
        <v>1910</v>
      </c>
      <c r="R97" s="1487">
        <v>1</v>
      </c>
      <c r="S97" s="358">
        <v>3</v>
      </c>
      <c r="T97" s="358">
        <v>3</v>
      </c>
      <c r="U97" s="355"/>
      <c r="V97" s="355">
        <v>44590</v>
      </c>
      <c r="W97" s="355" t="s">
        <v>3137</v>
      </c>
      <c r="X97" s="355" t="s">
        <v>1154</v>
      </c>
      <c r="Y97" s="355" t="s">
        <v>2353</v>
      </c>
      <c r="Z97" s="355"/>
      <c r="AA97" s="355"/>
      <c r="AB97" s="1112" t="s">
        <v>2542</v>
      </c>
      <c r="AD97" s="115"/>
    </row>
    <row r="98" spans="1:30" ht="13.2">
      <c r="A98" s="1148" t="s">
        <v>3166</v>
      </c>
      <c r="B98" s="1148" t="s">
        <v>3167</v>
      </c>
      <c r="C98" s="1149">
        <v>44793</v>
      </c>
      <c r="D98" s="1149">
        <v>44807</v>
      </c>
      <c r="E98" s="1148" t="s">
        <v>3168</v>
      </c>
      <c r="F98" s="1148"/>
      <c r="G98" s="1150" t="s">
        <v>3169</v>
      </c>
      <c r="H98" s="1148" t="s">
        <v>54</v>
      </c>
      <c r="I98" s="1148" t="s">
        <v>54</v>
      </c>
      <c r="J98" s="1148" t="s">
        <v>19</v>
      </c>
      <c r="K98" s="1148" t="s">
        <v>3170</v>
      </c>
      <c r="L98" s="1148" t="s">
        <v>3170</v>
      </c>
      <c r="M98" s="1148"/>
      <c r="N98" s="1151" t="s">
        <v>3171</v>
      </c>
      <c r="O98" s="1185">
        <f>1990*2+70</f>
        <v>4050</v>
      </c>
      <c r="P98" s="1148"/>
      <c r="Q98" s="1148" t="s">
        <v>3172</v>
      </c>
      <c r="R98" s="1501">
        <v>2</v>
      </c>
      <c r="S98" s="1150"/>
      <c r="T98" s="1150">
        <v>2</v>
      </c>
      <c r="U98" s="1413">
        <v>995</v>
      </c>
      <c r="V98" s="1155">
        <v>44571</v>
      </c>
      <c r="W98" s="1148" t="s">
        <v>3173</v>
      </c>
      <c r="X98" s="1148" t="s">
        <v>1154</v>
      </c>
      <c r="Y98" s="1148"/>
      <c r="Z98" s="1148"/>
      <c r="AA98" s="1148"/>
      <c r="AB98" s="501" t="s">
        <v>3657</v>
      </c>
      <c r="AD98" s="392"/>
    </row>
    <row r="99" spans="1:30">
      <c r="A99" s="355" t="s">
        <v>2867</v>
      </c>
      <c r="B99" s="355" t="s">
        <v>2866</v>
      </c>
      <c r="C99" s="357">
        <v>44247</v>
      </c>
      <c r="D99" s="357">
        <v>44254</v>
      </c>
      <c r="E99" s="934" t="s">
        <v>2868</v>
      </c>
      <c r="F99" s="355"/>
      <c r="G99" s="1109">
        <v>92350</v>
      </c>
      <c r="H99" s="355" t="s">
        <v>2869</v>
      </c>
      <c r="I99" s="355" t="s">
        <v>23</v>
      </c>
      <c r="J99" s="355" t="s">
        <v>19</v>
      </c>
      <c r="K99" s="355"/>
      <c r="L99" s="934" t="s">
        <v>2870</v>
      </c>
      <c r="M99" s="355"/>
      <c r="N99" s="365" t="s">
        <v>2871</v>
      </c>
      <c r="O99" s="359">
        <f>790+70</f>
        <v>860</v>
      </c>
      <c r="P99" s="355"/>
      <c r="Q99" s="355" t="s">
        <v>1401</v>
      </c>
      <c r="R99" s="1487">
        <v>1</v>
      </c>
      <c r="S99" s="358">
        <v>4</v>
      </c>
      <c r="T99" s="358">
        <v>0</v>
      </c>
      <c r="U99" s="417"/>
      <c r="V99" s="360">
        <v>44245</v>
      </c>
      <c r="W99" s="355" t="s">
        <v>1592</v>
      </c>
      <c r="X99" s="355" t="s">
        <v>1154</v>
      </c>
      <c r="Y99" s="355"/>
      <c r="Z99" s="355"/>
      <c r="AA99" s="355"/>
      <c r="AB99" s="363" t="s">
        <v>1068</v>
      </c>
      <c r="AD99" s="355"/>
    </row>
    <row r="100" spans="1:30" ht="13.2">
      <c r="A100" s="498" t="s">
        <v>2518</v>
      </c>
      <c r="B100" s="498" t="s">
        <v>2517</v>
      </c>
      <c r="C100" s="499">
        <v>43988</v>
      </c>
      <c r="D100" s="499">
        <v>43995</v>
      </c>
      <c r="E100" s="498" t="s">
        <v>2519</v>
      </c>
      <c r="F100" s="980"/>
      <c r="G100" s="500" t="s">
        <v>2520</v>
      </c>
      <c r="H100" s="938" t="s">
        <v>2521</v>
      </c>
      <c r="I100" s="498" t="s">
        <v>36</v>
      </c>
      <c r="J100" s="498" t="s">
        <v>19</v>
      </c>
      <c r="K100" s="498" t="s">
        <v>2523</v>
      </c>
      <c r="L100" s="688" t="s">
        <v>2522</v>
      </c>
      <c r="M100" s="498"/>
      <c r="N100" s="868" t="s">
        <v>2524</v>
      </c>
      <c r="O100" s="502"/>
      <c r="P100" s="498"/>
      <c r="Q100" s="498" t="s">
        <v>2588</v>
      </c>
      <c r="R100" s="1490"/>
      <c r="S100" s="500">
        <v>2</v>
      </c>
      <c r="T100" s="500">
        <v>1</v>
      </c>
      <c r="U100" s="670">
        <v>400</v>
      </c>
      <c r="V100" s="504">
        <v>43864</v>
      </c>
      <c r="W100" s="498" t="s">
        <v>1477</v>
      </c>
      <c r="X100" s="498" t="s">
        <v>1154</v>
      </c>
      <c r="Y100" s="498" t="s">
        <v>2552</v>
      </c>
      <c r="Z100" s="498"/>
      <c r="AA100" s="498"/>
      <c r="AB100" s="121" t="s">
        <v>3888</v>
      </c>
      <c r="AD100" s="115"/>
    </row>
    <row r="101" spans="1:30" s="355" customFormat="1" ht="12" customHeight="1">
      <c r="A101" s="498" t="s">
        <v>2518</v>
      </c>
      <c r="B101" s="498" t="s">
        <v>2517</v>
      </c>
      <c r="C101" s="499">
        <v>44441</v>
      </c>
      <c r="D101" s="499">
        <v>44478</v>
      </c>
      <c r="E101" s="498" t="s">
        <v>2519</v>
      </c>
      <c r="F101" s="980"/>
      <c r="G101" s="500" t="s">
        <v>2520</v>
      </c>
      <c r="H101" s="938" t="s">
        <v>2521</v>
      </c>
      <c r="I101" s="498" t="s">
        <v>36</v>
      </c>
      <c r="J101" s="498" t="s">
        <v>19</v>
      </c>
      <c r="K101" s="498" t="s">
        <v>2523</v>
      </c>
      <c r="L101" s="688" t="s">
        <v>2522</v>
      </c>
      <c r="M101" s="498"/>
      <c r="N101" s="868" t="s">
        <v>2524</v>
      </c>
      <c r="O101" s="502">
        <f>1190-400+70</f>
        <v>860</v>
      </c>
      <c r="P101" s="498"/>
      <c r="Q101" s="498" t="s">
        <v>2588</v>
      </c>
      <c r="R101" s="1490"/>
      <c r="S101" s="500">
        <v>2</v>
      </c>
      <c r="T101" s="500">
        <v>1</v>
      </c>
      <c r="U101" s="670">
        <v>400</v>
      </c>
      <c r="V101" s="504">
        <v>43864</v>
      </c>
      <c r="W101" s="498" t="s">
        <v>1477</v>
      </c>
      <c r="X101" s="498" t="s">
        <v>1154</v>
      </c>
      <c r="Y101" s="498" t="s">
        <v>2552</v>
      </c>
      <c r="Z101" s="498"/>
      <c r="AA101" s="498"/>
      <c r="AB101" s="128" t="s">
        <v>2577</v>
      </c>
      <c r="AD101" s="115"/>
    </row>
    <row r="102" spans="1:30" s="973" customFormat="1">
      <c r="A102" s="973" t="s">
        <v>2927</v>
      </c>
      <c r="B102" s="973" t="s">
        <v>2928</v>
      </c>
      <c r="C102" s="974">
        <v>44401</v>
      </c>
      <c r="D102" s="974">
        <v>44408</v>
      </c>
      <c r="E102" s="979"/>
      <c r="G102" s="979"/>
      <c r="I102" s="973" t="s">
        <v>23</v>
      </c>
      <c r="J102" s="973" t="s">
        <v>19</v>
      </c>
      <c r="L102" s="979" t="s">
        <v>2929</v>
      </c>
      <c r="N102" s="1115" t="s">
        <v>2930</v>
      </c>
      <c r="O102" s="975">
        <v>2024.3</v>
      </c>
      <c r="Q102" s="973" t="s">
        <v>1343</v>
      </c>
      <c r="R102" s="1498">
        <v>1</v>
      </c>
      <c r="S102" s="976">
        <v>6</v>
      </c>
      <c r="T102" s="976">
        <v>0</v>
      </c>
      <c r="U102" s="977"/>
      <c r="V102" s="978">
        <v>44301</v>
      </c>
      <c r="W102" s="973" t="s">
        <v>2891</v>
      </c>
      <c r="X102" s="973" t="s">
        <v>1154</v>
      </c>
      <c r="AB102" s="365" t="s">
        <v>2871</v>
      </c>
      <c r="AD102" s="115"/>
    </row>
    <row r="103" spans="1:30" s="1148" customFormat="1" ht="12" customHeight="1">
      <c r="A103" s="1617" t="s">
        <v>3655</v>
      </c>
      <c r="B103" s="498" t="s">
        <v>3656</v>
      </c>
      <c r="C103" s="499">
        <v>45374</v>
      </c>
      <c r="D103" s="499">
        <v>45381</v>
      </c>
      <c r="E103" s="498"/>
      <c r="F103" s="498"/>
      <c r="G103" s="500"/>
      <c r="H103" s="498"/>
      <c r="I103" s="498" t="s">
        <v>23</v>
      </c>
      <c r="J103" s="498" t="s">
        <v>19</v>
      </c>
      <c r="K103" s="498"/>
      <c r="L103" s="498" t="s">
        <v>3962</v>
      </c>
      <c r="M103" s="498"/>
      <c r="N103" s="501" t="s">
        <v>3657</v>
      </c>
      <c r="O103" s="502">
        <f>1090+21+70</f>
        <v>1181</v>
      </c>
      <c r="P103" s="498"/>
      <c r="Q103" s="498" t="s">
        <v>1025</v>
      </c>
      <c r="R103" s="1490">
        <v>1</v>
      </c>
      <c r="S103" s="500">
        <v>2</v>
      </c>
      <c r="T103" s="500">
        <v>1</v>
      </c>
      <c r="U103" s="503" t="s">
        <v>3665</v>
      </c>
      <c r="V103" s="504">
        <v>45244</v>
      </c>
      <c r="W103" s="498" t="s">
        <v>1665</v>
      </c>
      <c r="X103" s="498" t="s">
        <v>1154</v>
      </c>
      <c r="Y103" s="498"/>
      <c r="Z103" s="498"/>
      <c r="AA103" s="498"/>
      <c r="AB103" s="128" t="s">
        <v>2463</v>
      </c>
      <c r="AD103" s="8"/>
    </row>
    <row r="104" spans="1:30" s="1148" customFormat="1" ht="14.4">
      <c r="A104" s="820" t="s">
        <v>3649</v>
      </c>
      <c r="B104" s="820" t="s">
        <v>3508</v>
      </c>
      <c r="C104" s="821">
        <v>45220</v>
      </c>
      <c r="D104" s="821">
        <v>45227</v>
      </c>
      <c r="E104" s="1517" t="s">
        <v>3511</v>
      </c>
      <c r="F104" s="820"/>
      <c r="G104" s="822">
        <v>62236</v>
      </c>
      <c r="H104" s="1517" t="s">
        <v>3512</v>
      </c>
      <c r="I104" s="820" t="s">
        <v>23</v>
      </c>
      <c r="J104" s="820" t="s">
        <v>2568</v>
      </c>
      <c r="K104" s="820" t="s">
        <v>3514</v>
      </c>
      <c r="L104" s="1483" t="s">
        <v>3513</v>
      </c>
      <c r="M104" s="820"/>
      <c r="N104" s="1458" t="s">
        <v>3509</v>
      </c>
      <c r="O104" s="1026">
        <f>1290+42+70</f>
        <v>1402</v>
      </c>
      <c r="P104" s="820"/>
      <c r="Q104" s="820" t="s">
        <v>1192</v>
      </c>
      <c r="R104" s="1512">
        <v>1</v>
      </c>
      <c r="S104" s="822">
        <v>2</v>
      </c>
      <c r="T104" s="822">
        <v>2</v>
      </c>
      <c r="U104" s="1459">
        <v>333</v>
      </c>
      <c r="V104" s="825">
        <v>45064</v>
      </c>
      <c r="W104" s="820" t="s">
        <v>3510</v>
      </c>
      <c r="X104" s="820" t="s">
        <v>1154</v>
      </c>
      <c r="Y104" s="820"/>
      <c r="Z104" s="820"/>
      <c r="AA104" s="820"/>
      <c r="AB104" s="1151" t="s">
        <v>3171</v>
      </c>
      <c r="AD104" s="8"/>
    </row>
    <row r="105" spans="1:30" s="1148" customFormat="1" ht="12" customHeight="1">
      <c r="A105" s="115" t="s">
        <v>2802</v>
      </c>
      <c r="B105" s="115" t="s">
        <v>2803</v>
      </c>
      <c r="C105" s="116">
        <v>44194</v>
      </c>
      <c r="D105" s="116">
        <v>44197</v>
      </c>
      <c r="E105" s="115" t="s">
        <v>2804</v>
      </c>
      <c r="F105" s="115"/>
      <c r="G105" s="361">
        <v>29150</v>
      </c>
      <c r="H105" s="115" t="s">
        <v>2805</v>
      </c>
      <c r="I105" s="115" t="s">
        <v>23</v>
      </c>
      <c r="J105" s="115" t="s">
        <v>19</v>
      </c>
      <c r="K105" s="115"/>
      <c r="L105" s="115" t="s">
        <v>2806</v>
      </c>
      <c r="M105" s="115"/>
      <c r="N105" s="128" t="s">
        <v>2807</v>
      </c>
      <c r="O105" s="118">
        <v>800</v>
      </c>
      <c r="P105" s="115"/>
      <c r="Q105" s="115" t="s">
        <v>2808</v>
      </c>
      <c r="R105" s="1486">
        <v>1</v>
      </c>
      <c r="S105" s="361">
        <v>5</v>
      </c>
      <c r="T105" s="361">
        <v>0</v>
      </c>
      <c r="U105" s="119">
        <v>0</v>
      </c>
      <c r="V105" s="115">
        <v>44181</v>
      </c>
      <c r="W105" s="115" t="s">
        <v>1543</v>
      </c>
      <c r="X105" s="115" t="s">
        <v>1154</v>
      </c>
      <c r="Y105" s="115"/>
      <c r="Z105" s="115"/>
      <c r="AA105" s="115"/>
      <c r="AB105" s="1115" t="s">
        <v>2930</v>
      </c>
      <c r="AD105" s="8"/>
    </row>
    <row r="106" spans="1:30" s="1148" customFormat="1" ht="13.2">
      <c r="A106" s="115" t="s">
        <v>2841</v>
      </c>
      <c r="B106" s="115" t="s">
        <v>2967</v>
      </c>
      <c r="C106" s="116">
        <v>44436</v>
      </c>
      <c r="D106" s="116">
        <v>44457</v>
      </c>
      <c r="E106" s="935" t="s">
        <v>2842</v>
      </c>
      <c r="F106" s="115"/>
      <c r="G106" s="935" t="s">
        <v>2843</v>
      </c>
      <c r="H106" s="115" t="s">
        <v>2844</v>
      </c>
      <c r="I106" s="115" t="s">
        <v>54</v>
      </c>
      <c r="J106" s="115" t="s">
        <v>2568</v>
      </c>
      <c r="K106" s="115" t="s">
        <v>2846</v>
      </c>
      <c r="L106" s="935" t="s">
        <v>2845</v>
      </c>
      <c r="M106" s="115"/>
      <c r="N106" s="128" t="s">
        <v>2847</v>
      </c>
      <c r="O106" s="118">
        <f>1990+1590+1590</f>
        <v>5170</v>
      </c>
      <c r="P106" s="115"/>
      <c r="Q106" s="115" t="s">
        <v>717</v>
      </c>
      <c r="R106" s="1486">
        <v>3</v>
      </c>
      <c r="S106" s="361">
        <v>2</v>
      </c>
      <c r="T106" s="361">
        <v>2</v>
      </c>
      <c r="U106" s="129">
        <v>1293</v>
      </c>
      <c r="V106" s="120">
        <v>44212</v>
      </c>
      <c r="W106" s="115" t="s">
        <v>1338</v>
      </c>
      <c r="X106" s="115" t="s">
        <v>1154</v>
      </c>
      <c r="Y106" s="115" t="s">
        <v>2990</v>
      </c>
      <c r="Z106" s="115"/>
      <c r="AA106" s="115"/>
      <c r="AB106" s="121" t="s">
        <v>3451</v>
      </c>
      <c r="AD106" s="8"/>
    </row>
    <row r="107" spans="1:30" s="1148" customFormat="1" ht="12" customHeight="1">
      <c r="A107" s="1439" t="s">
        <v>2841</v>
      </c>
      <c r="B107" s="1439" t="s">
        <v>2967</v>
      </c>
      <c r="C107" s="1440">
        <v>45045</v>
      </c>
      <c r="D107" s="1440">
        <v>45066</v>
      </c>
      <c r="E107" s="1441" t="s">
        <v>2842</v>
      </c>
      <c r="F107" s="1439"/>
      <c r="G107" s="1441" t="s">
        <v>2843</v>
      </c>
      <c r="H107" s="1439" t="s">
        <v>2844</v>
      </c>
      <c r="I107" s="1439" t="s">
        <v>54</v>
      </c>
      <c r="J107" s="1439" t="s">
        <v>19</v>
      </c>
      <c r="K107" s="1439" t="s">
        <v>2846</v>
      </c>
      <c r="L107" s="1441" t="s">
        <v>2845</v>
      </c>
      <c r="M107" s="1439"/>
      <c r="N107" s="1446" t="s">
        <v>2847</v>
      </c>
      <c r="O107" s="1442">
        <f>1290+1290+1390</f>
        <v>3970</v>
      </c>
      <c r="P107" s="1439"/>
      <c r="Q107" s="1439" t="s">
        <v>717</v>
      </c>
      <c r="R107" s="1511">
        <v>3</v>
      </c>
      <c r="S107" s="1443">
        <v>2</v>
      </c>
      <c r="T107" s="1443">
        <v>2</v>
      </c>
      <c r="U107" s="1774">
        <v>993</v>
      </c>
      <c r="V107" s="1445">
        <v>44688</v>
      </c>
      <c r="W107" s="1439" t="s">
        <v>3227</v>
      </c>
      <c r="X107" s="1439" t="s">
        <v>1154</v>
      </c>
      <c r="Y107" s="1439" t="s">
        <v>3258</v>
      </c>
      <c r="Z107" s="1439"/>
      <c r="AA107" s="1439"/>
      <c r="AB107" s="365" t="s">
        <v>2865</v>
      </c>
      <c r="AD107" s="8"/>
    </row>
    <row r="108" spans="1:30" s="1160" customFormat="1" ht="14.4">
      <c r="A108" s="115" t="s">
        <v>3449</v>
      </c>
      <c r="B108" s="115" t="s">
        <v>3450</v>
      </c>
      <c r="C108" s="116">
        <v>45150</v>
      </c>
      <c r="D108" s="116">
        <v>45157</v>
      </c>
      <c r="E108" s="115"/>
      <c r="F108" s="115"/>
      <c r="G108" s="115"/>
      <c r="H108" s="115"/>
      <c r="I108" s="115" t="s">
        <v>23</v>
      </c>
      <c r="J108" s="115" t="s">
        <v>19</v>
      </c>
      <c r="K108" s="115"/>
      <c r="L108" s="1438" t="s">
        <v>3452</v>
      </c>
      <c r="M108" s="115"/>
      <c r="N108" s="121" t="s">
        <v>3451</v>
      </c>
      <c r="O108" s="118">
        <f>622.5+1850</f>
        <v>2472.5</v>
      </c>
      <c r="P108" s="115"/>
      <c r="Q108" s="115" t="s">
        <v>3453</v>
      </c>
      <c r="R108" s="1486">
        <v>1</v>
      </c>
      <c r="S108" s="361">
        <v>4</v>
      </c>
      <c r="T108" s="361">
        <v>0</v>
      </c>
      <c r="U108" s="1134">
        <f>2490/4</f>
        <v>622.5</v>
      </c>
      <c r="V108" s="120">
        <v>44971</v>
      </c>
      <c r="W108" s="115" t="s">
        <v>1665</v>
      </c>
      <c r="X108" s="115" t="s">
        <v>1154</v>
      </c>
      <c r="Y108" s="115"/>
      <c r="Z108" s="115"/>
      <c r="AA108" s="115"/>
      <c r="AB108" s="365" t="s">
        <v>2883</v>
      </c>
      <c r="AD108" s="8"/>
    </row>
    <row r="109" spans="1:30" s="1061" customFormat="1">
      <c r="A109" s="115" t="s">
        <v>2386</v>
      </c>
      <c r="B109" s="115" t="s">
        <v>2387</v>
      </c>
      <c r="C109" s="116">
        <v>43974</v>
      </c>
      <c r="D109" s="116">
        <v>43981</v>
      </c>
      <c r="E109" s="115" t="s">
        <v>2388</v>
      </c>
      <c r="F109" s="364"/>
      <c r="G109" s="361" t="s">
        <v>2389</v>
      </c>
      <c r="H109" s="935" t="s">
        <v>2390</v>
      </c>
      <c r="I109" s="115" t="s">
        <v>168</v>
      </c>
      <c r="J109" s="115" t="s">
        <v>19</v>
      </c>
      <c r="K109" s="115"/>
      <c r="L109" s="124" t="s">
        <v>2391</v>
      </c>
      <c r="M109" s="115"/>
      <c r="N109" s="128" t="s">
        <v>2392</v>
      </c>
      <c r="O109" s="118"/>
      <c r="P109" s="115"/>
      <c r="Q109" s="115" t="s">
        <v>2587</v>
      </c>
      <c r="R109" s="1486"/>
      <c r="S109" s="361">
        <v>3</v>
      </c>
      <c r="T109" s="361">
        <v>2</v>
      </c>
      <c r="U109" s="598">
        <v>297.5</v>
      </c>
      <c r="V109" s="120">
        <v>44137</v>
      </c>
      <c r="W109" s="115" t="s">
        <v>1477</v>
      </c>
      <c r="X109" s="115" t="s">
        <v>1154</v>
      </c>
      <c r="Y109" s="115" t="s">
        <v>2549</v>
      </c>
      <c r="Z109" s="115"/>
      <c r="AA109" s="115"/>
      <c r="AB109" s="868" t="s">
        <v>2524</v>
      </c>
      <c r="AD109" s="8"/>
    </row>
    <row r="110" spans="1:30" s="1160" customFormat="1">
      <c r="A110" s="115" t="s">
        <v>2573</v>
      </c>
      <c r="B110" s="115" t="s">
        <v>95</v>
      </c>
      <c r="C110" s="116">
        <v>44044</v>
      </c>
      <c r="D110" s="116">
        <v>44051</v>
      </c>
      <c r="E110" s="115" t="s">
        <v>2574</v>
      </c>
      <c r="F110" s="115"/>
      <c r="G110" s="361">
        <v>77480</v>
      </c>
      <c r="H110" s="115" t="s">
        <v>2575</v>
      </c>
      <c r="I110" s="115" t="s">
        <v>23</v>
      </c>
      <c r="J110" s="115" t="s">
        <v>19</v>
      </c>
      <c r="K110" s="115"/>
      <c r="L110" s="124" t="s">
        <v>2576</v>
      </c>
      <c r="M110" s="115"/>
      <c r="N110" s="128" t="s">
        <v>2577</v>
      </c>
      <c r="O110" s="118">
        <v>1990</v>
      </c>
      <c r="P110" s="115"/>
      <c r="Q110" s="115" t="s">
        <v>2579</v>
      </c>
      <c r="R110" s="1486">
        <v>1</v>
      </c>
      <c r="S110" s="361">
        <v>6</v>
      </c>
      <c r="T110" s="361">
        <v>1</v>
      </c>
      <c r="U110" s="129">
        <v>500</v>
      </c>
      <c r="V110" s="120">
        <v>43977</v>
      </c>
      <c r="W110" s="115"/>
      <c r="X110" s="115" t="s">
        <v>1154</v>
      </c>
      <c r="Y110" s="115"/>
      <c r="Z110" s="115"/>
      <c r="AA110" s="115"/>
      <c r="AB110" s="128" t="s">
        <v>2392</v>
      </c>
      <c r="AD110" s="8"/>
    </row>
    <row r="111" spans="1:30" s="1069" customFormat="1">
      <c r="A111" s="699" t="s">
        <v>2537</v>
      </c>
      <c r="B111" s="699" t="s">
        <v>2538</v>
      </c>
      <c r="C111" s="700">
        <v>44139</v>
      </c>
      <c r="D111" s="700">
        <v>43932</v>
      </c>
      <c r="E111" s="699" t="s">
        <v>2539</v>
      </c>
      <c r="F111" s="702"/>
      <c r="G111" s="701">
        <v>93250</v>
      </c>
      <c r="H111" s="699" t="s">
        <v>2540</v>
      </c>
      <c r="I111" s="699" t="s">
        <v>23</v>
      </c>
      <c r="J111" s="699" t="s">
        <v>19</v>
      </c>
      <c r="K111" s="699"/>
      <c r="L111" s="703" t="s">
        <v>2541</v>
      </c>
      <c r="M111" s="699"/>
      <c r="N111" s="1112" t="s">
        <v>2542</v>
      </c>
      <c r="O111" s="704"/>
      <c r="P111" s="699"/>
      <c r="Q111" s="699" t="s">
        <v>2543</v>
      </c>
      <c r="R111" s="1489"/>
      <c r="S111" s="701">
        <v>5</v>
      </c>
      <c r="T111" s="701">
        <v>1</v>
      </c>
      <c r="U111" s="1414">
        <v>223</v>
      </c>
      <c r="V111" s="706">
        <v>43900</v>
      </c>
      <c r="W111" s="699" t="s">
        <v>2544</v>
      </c>
      <c r="X111" s="699" t="s">
        <v>1154</v>
      </c>
      <c r="Y111" s="699" t="s">
        <v>2548</v>
      </c>
      <c r="Z111" s="699"/>
      <c r="AA111" s="699"/>
      <c r="AB111" s="128" t="s">
        <v>2807</v>
      </c>
      <c r="AD111" s="8"/>
    </row>
    <row r="112" spans="1:30" s="1177" customFormat="1">
      <c r="A112" s="1148" t="s">
        <v>1556</v>
      </c>
      <c r="B112" s="1148" t="s">
        <v>1557</v>
      </c>
      <c r="C112" s="1149">
        <v>44814</v>
      </c>
      <c r="D112" s="1149">
        <v>44821</v>
      </c>
      <c r="E112" s="1148" t="s">
        <v>1558</v>
      </c>
      <c r="F112" s="1148"/>
      <c r="G112" s="1150" t="s">
        <v>1559</v>
      </c>
      <c r="H112" s="1148" t="s">
        <v>1560</v>
      </c>
      <c r="I112" s="1148" t="s">
        <v>1561</v>
      </c>
      <c r="J112" s="1148" t="s">
        <v>180</v>
      </c>
      <c r="K112" s="1148"/>
      <c r="L112" s="1148" t="s">
        <v>1430</v>
      </c>
      <c r="M112" s="1148" t="s">
        <v>3053</v>
      </c>
      <c r="N112" s="1212" t="s">
        <v>1562</v>
      </c>
      <c r="O112" s="1152">
        <f>1590+70</f>
        <v>1660</v>
      </c>
      <c r="P112" s="1148"/>
      <c r="Q112" s="1148" t="s">
        <v>2674</v>
      </c>
      <c r="R112" s="1501">
        <v>1</v>
      </c>
      <c r="S112" s="1150">
        <v>2</v>
      </c>
      <c r="T112" s="1150">
        <v>1</v>
      </c>
      <c r="U112" s="1413">
        <v>400</v>
      </c>
      <c r="V112" s="1155">
        <v>44487</v>
      </c>
      <c r="W112" s="1148" t="s">
        <v>3054</v>
      </c>
      <c r="X112" s="1148" t="s">
        <v>1154</v>
      </c>
      <c r="Y112" s="1148" t="s">
        <v>3055</v>
      </c>
      <c r="Z112" s="1148"/>
      <c r="AA112" s="1148"/>
      <c r="AB112" s="128"/>
      <c r="AD112" s="8"/>
    </row>
    <row r="113" spans="1:30" s="1148" customFormat="1" ht="13.2">
      <c r="A113" s="820" t="s">
        <v>1556</v>
      </c>
      <c r="B113" s="820" t="s">
        <v>1557</v>
      </c>
      <c r="C113" s="821">
        <v>45185</v>
      </c>
      <c r="D113" s="821">
        <v>45192</v>
      </c>
      <c r="E113" s="820" t="s">
        <v>1558</v>
      </c>
      <c r="F113" s="820"/>
      <c r="G113" s="822" t="s">
        <v>1559</v>
      </c>
      <c r="H113" s="820" t="s">
        <v>1560</v>
      </c>
      <c r="I113" s="820" t="s">
        <v>1561</v>
      </c>
      <c r="J113" s="820" t="s">
        <v>180</v>
      </c>
      <c r="K113" s="820"/>
      <c r="L113" s="820" t="s">
        <v>1430</v>
      </c>
      <c r="M113" s="820" t="s">
        <v>3053</v>
      </c>
      <c r="N113" s="1458" t="s">
        <v>1562</v>
      </c>
      <c r="O113" s="1467">
        <f>1590+600+70+21</f>
        <v>2281</v>
      </c>
      <c r="P113" s="820"/>
      <c r="Q113" s="820" t="s">
        <v>2674</v>
      </c>
      <c r="R113" s="1512">
        <v>1.5</v>
      </c>
      <c r="S113" s="822">
        <v>2</v>
      </c>
      <c r="T113" s="822">
        <v>1</v>
      </c>
      <c r="U113" s="1779">
        <v>400</v>
      </c>
      <c r="V113" s="825">
        <v>44846</v>
      </c>
      <c r="W113" s="820" t="s">
        <v>3054</v>
      </c>
      <c r="X113" s="820" t="s">
        <v>1154</v>
      </c>
      <c r="Y113" s="820" t="s">
        <v>3055</v>
      </c>
      <c r="Z113" s="820"/>
      <c r="AA113" s="820"/>
      <c r="AB113" s="868"/>
      <c r="AD113" s="8"/>
    </row>
    <row r="114" spans="1:30" s="1148" customFormat="1" ht="12" customHeight="1">
      <c r="A114" s="115" t="s">
        <v>1556</v>
      </c>
      <c r="B114" s="115" t="s">
        <v>1557</v>
      </c>
      <c r="C114" s="116">
        <v>45176</v>
      </c>
      <c r="D114" s="116">
        <v>45183</v>
      </c>
      <c r="E114" s="115" t="s">
        <v>1558</v>
      </c>
      <c r="F114" s="115"/>
      <c r="G114" s="361" t="s">
        <v>1559</v>
      </c>
      <c r="H114" s="115" t="s">
        <v>1560</v>
      </c>
      <c r="I114" s="115" t="s">
        <v>1561</v>
      </c>
      <c r="J114" s="115" t="s">
        <v>180</v>
      </c>
      <c r="K114" s="115"/>
      <c r="L114" s="115" t="s">
        <v>1430</v>
      </c>
      <c r="M114" s="115" t="s">
        <v>3053</v>
      </c>
      <c r="N114" s="121" t="s">
        <v>1562</v>
      </c>
      <c r="O114" s="118">
        <v>2090</v>
      </c>
      <c r="P114" s="115"/>
      <c r="Q114" s="115" t="s">
        <v>2674</v>
      </c>
      <c r="R114" s="1486">
        <v>1</v>
      </c>
      <c r="S114" s="361">
        <v>2</v>
      </c>
      <c r="T114" s="361">
        <v>1</v>
      </c>
      <c r="U114" s="119" t="s">
        <v>3634</v>
      </c>
      <c r="V114" s="120">
        <v>45200</v>
      </c>
      <c r="W114" s="115" t="s">
        <v>3631</v>
      </c>
      <c r="X114" s="115" t="s">
        <v>1154</v>
      </c>
      <c r="Y114" s="115"/>
      <c r="Z114" s="115"/>
      <c r="AA114" s="115"/>
      <c r="AB114" s="128"/>
      <c r="AD114" s="8"/>
    </row>
    <row r="115" spans="1:30" s="1148" customFormat="1" ht="12" customHeight="1">
      <c r="A115" s="820" t="s">
        <v>3546</v>
      </c>
      <c r="B115" s="820" t="s">
        <v>3547</v>
      </c>
      <c r="C115" s="821">
        <v>45282</v>
      </c>
      <c r="D115" s="821">
        <v>45289</v>
      </c>
      <c r="E115" s="820"/>
      <c r="F115" s="820"/>
      <c r="G115" s="822"/>
      <c r="H115" s="820"/>
      <c r="I115" s="820" t="s">
        <v>3550</v>
      </c>
      <c r="J115" s="820" t="s">
        <v>3549</v>
      </c>
      <c r="K115" s="820"/>
      <c r="L115" s="1483" t="s">
        <v>3548</v>
      </c>
      <c r="M115" s="820"/>
      <c r="N115" s="1591" t="s">
        <v>3743</v>
      </c>
      <c r="O115" s="1592">
        <v>1278.71</v>
      </c>
      <c r="P115" s="820"/>
      <c r="Q115" s="820" t="s">
        <v>2674</v>
      </c>
      <c r="R115" s="1512">
        <v>1</v>
      </c>
      <c r="S115" s="822">
        <v>2</v>
      </c>
      <c r="T115" s="822">
        <v>1</v>
      </c>
      <c r="U115" s="1781" t="s">
        <v>3796</v>
      </c>
      <c r="V115" s="825">
        <v>45149</v>
      </c>
      <c r="W115" s="820" t="s">
        <v>2891</v>
      </c>
      <c r="X115" s="820" t="s">
        <v>1154</v>
      </c>
      <c r="Y115" s="820"/>
      <c r="Z115" s="820"/>
      <c r="AA115" s="820"/>
      <c r="AD115" s="8"/>
    </row>
    <row r="116" spans="1:30" s="1148" customFormat="1" ht="12" customHeight="1">
      <c r="A116" s="9" t="s">
        <v>2184</v>
      </c>
      <c r="B116" s="856"/>
      <c r="C116" s="856"/>
      <c r="D116" s="856"/>
      <c r="E116" s="856"/>
      <c r="F116" s="856"/>
      <c r="G116" s="857"/>
      <c r="H116" s="856"/>
      <c r="I116" s="856"/>
      <c r="J116" s="856"/>
      <c r="K116" s="856"/>
      <c r="L116" s="856"/>
      <c r="M116" s="856"/>
      <c r="N116" s="856"/>
      <c r="O116" s="856"/>
      <c r="P116" s="856"/>
      <c r="Q116" s="856"/>
      <c r="R116" s="858"/>
      <c r="S116" s="857"/>
      <c r="T116" s="857"/>
      <c r="U116" s="1358"/>
      <c r="V116" s="856"/>
      <c r="W116" s="856"/>
      <c r="X116" s="856"/>
      <c r="Y116" s="8"/>
      <c r="Z116" s="8"/>
      <c r="AA116" s="8"/>
      <c r="AD116" s="8"/>
    </row>
    <row r="117" spans="1:30" s="1148" customFormat="1">
      <c r="A117" s="9" t="s">
        <v>2346</v>
      </c>
      <c r="B117" s="856"/>
      <c r="C117" s="856"/>
      <c r="D117" s="856"/>
      <c r="E117" s="856"/>
      <c r="F117" s="856"/>
      <c r="G117" s="857"/>
      <c r="H117" s="856"/>
      <c r="I117" s="856"/>
      <c r="J117" s="856"/>
      <c r="K117" s="856"/>
      <c r="L117" s="856"/>
      <c r="M117" s="856"/>
      <c r="N117" s="856"/>
      <c r="O117" s="856"/>
      <c r="P117" s="856"/>
      <c r="Q117" s="856"/>
      <c r="R117" s="858"/>
      <c r="S117" s="857"/>
      <c r="T117" s="857"/>
      <c r="U117" s="858"/>
      <c r="V117" s="856"/>
      <c r="W117" s="856"/>
      <c r="X117" s="856"/>
      <c r="Y117" s="8"/>
      <c r="Z117" s="8"/>
      <c r="AA117" s="8"/>
      <c r="AD117" s="699"/>
    </row>
    <row r="118" spans="1:30" s="355" customFormat="1">
      <c r="A118" s="9" t="s">
        <v>2675</v>
      </c>
      <c r="B118" s="856"/>
      <c r="C118" s="1114"/>
      <c r="D118" s="8"/>
      <c r="E118" s="1114"/>
      <c r="F118" s="8"/>
      <c r="G118" s="857"/>
      <c r="H118" s="856"/>
      <c r="I118" s="856"/>
      <c r="J118" s="856"/>
      <c r="K118" s="856"/>
      <c r="L118" s="856"/>
      <c r="M118" s="856"/>
      <c r="N118" s="856"/>
      <c r="O118" s="856"/>
      <c r="P118" s="856"/>
      <c r="Q118" s="856"/>
      <c r="R118" s="858"/>
      <c r="S118" s="857"/>
      <c r="T118" s="857"/>
      <c r="U118" s="858"/>
      <c r="V118" s="856"/>
      <c r="W118" s="856"/>
      <c r="X118" s="856"/>
      <c r="Y118" s="8"/>
      <c r="Z118" s="8"/>
      <c r="AA118" s="8"/>
      <c r="AD118" s="699"/>
    </row>
    <row r="119" spans="1:30" s="1203" customFormat="1">
      <c r="A119" s="9" t="s">
        <v>2962</v>
      </c>
      <c r="B119" s="856"/>
      <c r="C119" s="1114"/>
      <c r="D119" s="8"/>
      <c r="E119" s="1114"/>
      <c r="F119" s="8"/>
      <c r="G119" s="857"/>
      <c r="H119" s="856"/>
      <c r="I119" s="856"/>
      <c r="J119" s="856"/>
      <c r="K119" s="856"/>
      <c r="L119" s="856"/>
      <c r="M119" s="856"/>
      <c r="N119" s="856"/>
      <c r="O119" s="856"/>
      <c r="P119" s="856"/>
      <c r="Q119" s="856"/>
      <c r="R119" s="858"/>
      <c r="S119" s="857"/>
      <c r="T119" s="857"/>
      <c r="U119" s="858"/>
      <c r="V119" s="856"/>
      <c r="W119" s="856"/>
      <c r="X119" s="856"/>
      <c r="Y119" s="8"/>
      <c r="Z119" s="8"/>
      <c r="AA119" s="8"/>
      <c r="AD119" s="8"/>
    </row>
    <row r="120" spans="1:30" s="440" customFormat="1">
      <c r="A120" s="9" t="s">
        <v>3210</v>
      </c>
      <c r="B120" s="856"/>
      <c r="C120" s="1114"/>
      <c r="D120" s="8"/>
      <c r="E120" s="1114"/>
      <c r="F120" s="8"/>
      <c r="G120" s="857"/>
      <c r="H120" s="856"/>
      <c r="I120" s="856"/>
      <c r="J120" s="856"/>
      <c r="K120" s="856"/>
      <c r="L120" s="856"/>
      <c r="M120" s="856"/>
      <c r="N120" s="856"/>
      <c r="O120" s="856"/>
      <c r="P120" s="856"/>
      <c r="Q120" s="856"/>
      <c r="R120" s="858"/>
      <c r="S120" s="857"/>
      <c r="T120" s="857"/>
      <c r="U120" s="858"/>
      <c r="V120" s="856"/>
      <c r="W120" s="856"/>
      <c r="X120" s="856"/>
      <c r="Y120" s="8"/>
      <c r="Z120" s="8"/>
      <c r="AA120" s="8"/>
      <c r="AD120" s="699"/>
    </row>
    <row r="121" spans="1:30" s="115" customFormat="1">
      <c r="A121" s="870" t="s">
        <v>3468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439"/>
      <c r="S121" s="8"/>
      <c r="T121" s="8"/>
      <c r="U121" s="8"/>
      <c r="V121" s="8"/>
      <c r="W121" s="8"/>
      <c r="X121" s="8"/>
      <c r="Y121" s="8"/>
      <c r="Z121" s="8"/>
      <c r="AA121" s="8"/>
    </row>
    <row r="122" spans="1:30" s="1136" customFormat="1">
      <c r="A122" s="7" t="s">
        <v>2015</v>
      </c>
      <c r="B122" s="1268">
        <f>SUM(O109:O120)</f>
        <v>9299.7099999999991</v>
      </c>
      <c r="C122" s="826">
        <v>1</v>
      </c>
      <c r="D122" s="9" t="s">
        <v>574</v>
      </c>
      <c r="E122" s="8"/>
      <c r="F122" s="7"/>
      <c r="G122" s="133"/>
      <c r="H122" s="49"/>
      <c r="I122" s="7"/>
      <c r="J122" s="7"/>
      <c r="K122" s="7"/>
      <c r="L122" s="864"/>
      <c r="M122" s="7"/>
      <c r="N122" s="7"/>
      <c r="O122" s="773"/>
      <c r="P122" s="7"/>
      <c r="Q122" s="457"/>
      <c r="R122" s="439"/>
      <c r="S122" s="133"/>
      <c r="T122" s="133"/>
      <c r="U122" s="74"/>
      <c r="V122" s="8"/>
      <c r="W122" s="8"/>
      <c r="X122" s="8"/>
      <c r="Y122" s="8"/>
      <c r="Z122" s="8"/>
      <c r="AA122" s="8"/>
      <c r="AD122" s="498"/>
    </row>
    <row r="123" spans="1:30" s="115" customFormat="1">
      <c r="A123" s="7" t="s">
        <v>2241</v>
      </c>
      <c r="B123" s="1268">
        <f>SUM(O101:O121)</f>
        <v>27179.51</v>
      </c>
      <c r="C123" s="933" t="e">
        <f>B123/B89</f>
        <v>#VALUE!</v>
      </c>
      <c r="D123" s="9" t="s">
        <v>574</v>
      </c>
      <c r="E123" s="8"/>
      <c r="F123" s="7"/>
      <c r="G123" s="133"/>
      <c r="H123" s="49"/>
      <c r="I123" s="7"/>
      <c r="J123" s="8"/>
      <c r="K123" s="7"/>
      <c r="L123" s="864"/>
      <c r="M123" s="7"/>
      <c r="N123" s="7"/>
      <c r="O123" s="773"/>
      <c r="P123" s="7"/>
      <c r="Q123" s="8"/>
      <c r="R123" s="439"/>
      <c r="S123" s="133"/>
      <c r="T123" s="133">
        <f>O109-U109</f>
        <v>-297.5</v>
      </c>
      <c r="U123" s="74"/>
      <c r="V123" s="8"/>
      <c r="W123" s="8"/>
      <c r="X123" s="8"/>
      <c r="Y123" s="8"/>
      <c r="Z123" s="8"/>
      <c r="AA123" s="8"/>
      <c r="AD123" s="8"/>
    </row>
    <row r="124" spans="1:30" ht="10.8" thickBot="1">
      <c r="A124" s="7" t="s">
        <v>2693</v>
      </c>
      <c r="B124" s="1268">
        <f>SUM(O96:O123)</f>
        <v>34702.51</v>
      </c>
      <c r="C124" s="933" t="e">
        <f>B124/B84</f>
        <v>#VALUE!</v>
      </c>
      <c r="D124" s="9" t="s">
        <v>574</v>
      </c>
      <c r="F124" s="7"/>
      <c r="G124" s="133">
        <f>450/1.2</f>
        <v>375</v>
      </c>
      <c r="H124" s="49"/>
      <c r="I124" s="7"/>
      <c r="K124" s="7"/>
      <c r="L124" s="864"/>
      <c r="M124" s="7"/>
      <c r="N124" s="7"/>
      <c r="O124" s="773"/>
      <c r="P124" s="7"/>
      <c r="S124" s="133"/>
      <c r="T124" s="133" t="e">
        <f>#REF!-#REF!</f>
        <v>#REF!</v>
      </c>
      <c r="U124" s="74"/>
      <c r="AD124" s="115"/>
    </row>
    <row r="125" spans="1:30" ht="10.8" thickBot="1">
      <c r="A125" s="18" t="s">
        <v>3013</v>
      </c>
      <c r="B125" s="767">
        <f>SUM(O100:O124)</f>
        <v>27179.51</v>
      </c>
      <c r="C125" s="933" t="e">
        <f>B125/B90</f>
        <v>#VALUE!</v>
      </c>
      <c r="D125" s="791" t="s">
        <v>574</v>
      </c>
      <c r="E125" s="782"/>
      <c r="F125" s="7"/>
      <c r="G125" s="133"/>
      <c r="H125" s="49"/>
      <c r="I125" s="7"/>
      <c r="K125" s="7"/>
      <c r="L125" s="864"/>
      <c r="M125" s="7"/>
      <c r="N125" s="7"/>
      <c r="O125" s="773"/>
      <c r="P125" s="7"/>
      <c r="S125" s="133"/>
      <c r="T125" s="133"/>
      <c r="U125" s="74"/>
      <c r="AD125" s="115"/>
    </row>
    <row r="126" spans="1:30" ht="10.8" thickBot="1">
      <c r="A126" s="768" t="s">
        <v>3212</v>
      </c>
      <c r="B126" s="767">
        <f>SUM(O102:O125)</f>
        <v>26319.51</v>
      </c>
      <c r="C126" s="1761" t="e">
        <f>B126/B93</f>
        <v>#VALUE!</v>
      </c>
      <c r="D126" s="624" t="s">
        <v>3775</v>
      </c>
      <c r="E126" s="1700">
        <f>SUM(E127:E136)</f>
        <v>703</v>
      </c>
      <c r="F126" s="7"/>
      <c r="G126" s="133"/>
      <c r="I126" s="7"/>
      <c r="K126" s="7"/>
      <c r="L126" s="864"/>
      <c r="M126" s="7"/>
      <c r="N126" s="7"/>
      <c r="O126" s="773"/>
      <c r="P126" s="7"/>
      <c r="S126" s="133"/>
      <c r="T126" s="133"/>
      <c r="U126" s="1135"/>
      <c r="AD126" s="757"/>
    </row>
    <row r="127" spans="1:30" ht="10.8" thickBot="1">
      <c r="A127" s="7" t="s">
        <v>3469</v>
      </c>
      <c r="B127" s="1268">
        <f>SUM(O106:O126)</f>
        <v>20912.21</v>
      </c>
      <c r="C127" s="933" t="e">
        <f>B127/B84</f>
        <v>#VALUE!</v>
      </c>
      <c r="D127" s="624" t="s">
        <v>574</v>
      </c>
      <c r="E127" s="1127"/>
      <c r="AD127" s="115"/>
    </row>
    <row r="128" spans="1:30" ht="10.8" thickBot="1">
      <c r="A128" s="18" t="s">
        <v>574</v>
      </c>
      <c r="B128" s="1393">
        <f>E130</f>
        <v>0</v>
      </c>
      <c r="C128" s="29"/>
      <c r="D128" s="17" t="s">
        <v>577</v>
      </c>
      <c r="E128" s="13"/>
      <c r="F128" s="7"/>
      <c r="G128" s="133"/>
      <c r="H128" s="495"/>
      <c r="I128" s="7"/>
      <c r="J128" s="7"/>
      <c r="K128" s="49"/>
      <c r="L128" s="49"/>
      <c r="M128" s="7"/>
      <c r="N128" s="1111"/>
      <c r="O128" s="773"/>
      <c r="P128" s="7"/>
      <c r="S128" s="133"/>
      <c r="T128" s="133"/>
      <c r="U128" s="7"/>
      <c r="AD128" s="115"/>
    </row>
    <row r="129" spans="1:30" ht="10.8" thickBot="1">
      <c r="A129" s="852" t="s">
        <v>574</v>
      </c>
      <c r="B129" s="853">
        <f>E131</f>
        <v>0</v>
      </c>
      <c r="C129" s="29"/>
      <c r="D129" s="17" t="s">
        <v>577</v>
      </c>
      <c r="E129" s="13"/>
      <c r="F129" s="7"/>
      <c r="G129" s="133"/>
      <c r="H129" s="495"/>
      <c r="I129" s="7"/>
      <c r="J129" s="7"/>
      <c r="K129" s="49"/>
      <c r="L129" s="49"/>
      <c r="M129" s="7"/>
      <c r="N129" s="1111"/>
      <c r="O129" s="773"/>
      <c r="P129" s="7"/>
      <c r="S129" s="133"/>
      <c r="T129" s="133"/>
      <c r="U129" s="7"/>
      <c r="AD129" s="115"/>
    </row>
    <row r="130" spans="1:30" ht="10.8" thickBot="1">
      <c r="A130" s="510" t="s">
        <v>574</v>
      </c>
      <c r="B130" s="1758">
        <f>E132</f>
        <v>703</v>
      </c>
      <c r="C130" s="29"/>
      <c r="D130" s="786" t="s">
        <v>577</v>
      </c>
      <c r="E130" s="541"/>
      <c r="F130" s="7"/>
      <c r="G130" s="133"/>
      <c r="H130" s="495"/>
      <c r="I130" s="7"/>
      <c r="J130" s="7"/>
      <c r="K130" s="49"/>
      <c r="L130" s="49"/>
      <c r="M130" s="7"/>
      <c r="N130" s="1111"/>
      <c r="O130" s="773"/>
      <c r="P130" s="7"/>
      <c r="Q130" s="439"/>
      <c r="S130" s="133"/>
      <c r="T130" s="133"/>
      <c r="U130" s="7"/>
      <c r="AD130" s="115"/>
    </row>
    <row r="131" spans="1:30">
      <c r="A131" s="7" t="s">
        <v>574</v>
      </c>
      <c r="B131" s="1280">
        <f>E133</f>
        <v>0</v>
      </c>
      <c r="C131" s="29"/>
      <c r="D131" s="1266" t="s">
        <v>577</v>
      </c>
      <c r="F131" s="7"/>
      <c r="G131" s="133"/>
      <c r="H131" s="495"/>
      <c r="I131" s="7"/>
      <c r="J131" s="7"/>
      <c r="K131" s="49"/>
      <c r="L131" s="49"/>
      <c r="M131" s="7"/>
      <c r="N131" s="1111"/>
      <c r="O131" s="773"/>
      <c r="P131" s="7"/>
      <c r="S131" s="133"/>
      <c r="T131" s="133"/>
      <c r="U131" s="7"/>
      <c r="AD131" s="115"/>
    </row>
    <row r="132" spans="1:30">
      <c r="A132" s="7" t="s">
        <v>574</v>
      </c>
      <c r="B132" s="1280">
        <f>E128</f>
        <v>0</v>
      </c>
      <c r="C132" s="29"/>
      <c r="D132" s="1266" t="s">
        <v>577</v>
      </c>
      <c r="E132" s="132">
        <v>703</v>
      </c>
      <c r="F132" s="7"/>
      <c r="G132" s="133"/>
      <c r="H132" s="495"/>
      <c r="I132" s="7"/>
      <c r="J132" s="7"/>
      <c r="K132" s="49"/>
      <c r="L132" s="49"/>
      <c r="M132" s="7"/>
      <c r="N132" s="1111" t="s">
        <v>3627</v>
      </c>
      <c r="O132" s="773">
        <f>(O122+O123)*0.75+O125+O151*0.75+'Cleder '!O655</f>
        <v>3067.5</v>
      </c>
      <c r="P132" s="7"/>
      <c r="S132" s="133"/>
      <c r="T132" s="133"/>
      <c r="U132" s="1135">
        <f>3030+1000-1290-1290-1290</f>
        <v>160</v>
      </c>
      <c r="AD132" s="115"/>
    </row>
    <row r="133" spans="1:30">
      <c r="A133" s="7" t="s">
        <v>574</v>
      </c>
      <c r="B133" s="1280">
        <f>E135</f>
        <v>0</v>
      </c>
      <c r="C133" s="29"/>
      <c r="D133" s="1266" t="s">
        <v>577</v>
      </c>
      <c r="E133" s="132"/>
    </row>
    <row r="134" spans="1:30">
      <c r="A134" s="7" t="s">
        <v>464</v>
      </c>
      <c r="B134" s="1277">
        <f t="shared" ref="B134:B139" si="0">(1788.54+225.66)*12</f>
        <v>24170.400000000001</v>
      </c>
      <c r="C134" s="29"/>
      <c r="D134" s="1266" t="s">
        <v>1304</v>
      </c>
      <c r="F134" s="7"/>
      <c r="G134" s="133"/>
      <c r="H134" s="495"/>
      <c r="I134" s="7"/>
      <c r="J134" s="7"/>
      <c r="K134" s="404"/>
      <c r="L134" s="404"/>
      <c r="M134" s="7"/>
      <c r="O134" s="439"/>
      <c r="P134" s="7"/>
      <c r="Q134" s="457"/>
      <c r="S134" s="133"/>
      <c r="T134" s="133"/>
      <c r="U134" s="7"/>
      <c r="AD134" s="689"/>
    </row>
    <row r="135" spans="1:30" s="1418" customFormat="1">
      <c r="A135" s="7" t="s">
        <v>464</v>
      </c>
      <c r="B135" s="1277">
        <f t="shared" si="0"/>
        <v>24170.400000000001</v>
      </c>
      <c r="C135" s="29"/>
      <c r="D135" s="1266" t="s">
        <v>1304</v>
      </c>
      <c r="E135" s="8"/>
      <c r="F135" s="7"/>
      <c r="G135" s="133"/>
      <c r="H135" s="495"/>
      <c r="I135" s="7"/>
      <c r="J135" s="7"/>
      <c r="K135" s="404"/>
      <c r="L135" s="404"/>
      <c r="M135" s="7"/>
      <c r="N135" s="8"/>
      <c r="O135" s="439"/>
      <c r="P135" s="7"/>
      <c r="Q135" s="8"/>
      <c r="R135" s="439"/>
      <c r="S135" s="133"/>
      <c r="T135" s="133"/>
      <c r="U135" s="7"/>
      <c r="V135" s="8"/>
      <c r="W135" s="8"/>
      <c r="X135" s="8"/>
      <c r="Y135" s="8"/>
      <c r="Z135" s="8"/>
      <c r="AA135" s="8"/>
      <c r="AD135" s="689"/>
    </row>
    <row r="136" spans="1:30" s="1447" customFormat="1">
      <c r="A136" s="7" t="s">
        <v>464</v>
      </c>
      <c r="B136" s="1277">
        <f t="shared" si="0"/>
        <v>24170.400000000001</v>
      </c>
      <c r="C136" s="29"/>
      <c r="D136" s="1266" t="s">
        <v>1304</v>
      </c>
      <c r="E136" s="8"/>
      <c r="F136" s="7"/>
      <c r="G136" s="133"/>
      <c r="H136" s="495"/>
      <c r="I136" s="7">
        <f>450/1.2</f>
        <v>375</v>
      </c>
      <c r="J136" s="7"/>
      <c r="K136" s="404"/>
      <c r="L136" s="404"/>
      <c r="M136" s="7"/>
      <c r="N136" s="8"/>
      <c r="O136" s="439"/>
      <c r="P136" s="7"/>
      <c r="Q136" s="439"/>
      <c r="R136" s="439"/>
      <c r="S136" s="133"/>
      <c r="T136" s="133"/>
      <c r="U136" s="7"/>
      <c r="V136" s="8"/>
      <c r="W136" s="8"/>
      <c r="X136" s="8"/>
      <c r="Y136" s="8"/>
      <c r="Z136" s="8"/>
      <c r="AA136" s="8"/>
      <c r="AD136" s="8"/>
    </row>
    <row r="137" spans="1:30" s="1447" customFormat="1">
      <c r="A137" s="7" t="s">
        <v>464</v>
      </c>
      <c r="B137" s="1277">
        <f t="shared" si="0"/>
        <v>24170.400000000001</v>
      </c>
      <c r="C137" s="29"/>
      <c r="D137" s="1266" t="s">
        <v>1304</v>
      </c>
      <c r="E137" s="8"/>
      <c r="F137" s="7" t="s">
        <v>3209</v>
      </c>
      <c r="G137" s="132">
        <v>2000</v>
      </c>
      <c r="H137" s="495"/>
      <c r="I137" s="7"/>
      <c r="J137" s="7"/>
      <c r="K137" s="404"/>
      <c r="L137" s="404"/>
      <c r="M137" s="7"/>
      <c r="N137" s="8"/>
      <c r="O137" s="439"/>
      <c r="P137" s="7"/>
      <c r="Q137" s="8"/>
      <c r="R137" s="439"/>
      <c r="S137" s="133"/>
      <c r="T137" s="133"/>
      <c r="U137" s="7"/>
      <c r="V137" s="8"/>
      <c r="W137" s="8"/>
      <c r="X137" s="8"/>
      <c r="Y137" s="8"/>
      <c r="Z137" s="8"/>
      <c r="AA137" s="8"/>
      <c r="AD137" s="115"/>
    </row>
    <row r="138" spans="1:30" s="1447" customFormat="1">
      <c r="A138" s="7" t="s">
        <v>464</v>
      </c>
      <c r="B138" s="1277">
        <f t="shared" si="0"/>
        <v>24170.400000000001</v>
      </c>
      <c r="C138" s="29"/>
      <c r="D138" s="1266" t="s">
        <v>3209</v>
      </c>
      <c r="E138" s="132">
        <f>10*100+10*120</f>
        <v>2200</v>
      </c>
      <c r="F138" s="7"/>
      <c r="G138" s="133"/>
      <c r="H138" s="495"/>
      <c r="I138" s="7"/>
      <c r="J138" s="7"/>
      <c r="K138" s="404"/>
      <c r="L138" s="404"/>
      <c r="M138" s="7"/>
      <c r="N138" s="8"/>
      <c r="O138" s="439"/>
      <c r="P138" s="7"/>
      <c r="Q138" s="8"/>
      <c r="R138" s="439"/>
      <c r="S138" s="133"/>
      <c r="T138" s="133"/>
      <c r="U138" s="1135"/>
      <c r="V138" s="8"/>
      <c r="W138" s="8"/>
      <c r="X138" s="8"/>
      <c r="Y138" s="8"/>
      <c r="Z138" s="8"/>
      <c r="AA138" s="8"/>
      <c r="AD138" s="8"/>
    </row>
    <row r="139" spans="1:30" s="1439" customFormat="1">
      <c r="A139" s="7" t="s">
        <v>464</v>
      </c>
      <c r="B139" s="1277">
        <f t="shared" si="0"/>
        <v>24170.400000000001</v>
      </c>
      <c r="C139" s="29"/>
      <c r="D139" s="1266" t="s">
        <v>1304</v>
      </c>
      <c r="E139" s="132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439"/>
      <c r="S139" s="8"/>
      <c r="T139" s="8"/>
      <c r="U139" s="439">
        <f>272.5+908.5</f>
        <v>1181</v>
      </c>
      <c r="V139" s="8"/>
      <c r="W139" s="8"/>
      <c r="X139" s="8"/>
      <c r="Y139" s="8"/>
      <c r="Z139" s="8"/>
      <c r="AA139" s="8"/>
      <c r="AD139" s="8"/>
    </row>
    <row r="140" spans="1:30" s="1439" customFormat="1">
      <c r="A140" s="7" t="s">
        <v>1534</v>
      </c>
      <c r="B140" s="773">
        <f t="shared" ref="B140:B145" si="1">B135-B138-B139</f>
        <v>-24170.400000000001</v>
      </c>
      <c r="C140" s="29"/>
      <c r="D140" s="1266" t="s">
        <v>578</v>
      </c>
      <c r="E140" s="8"/>
      <c r="F140" s="7"/>
      <c r="G140" s="133"/>
      <c r="H140" s="495"/>
      <c r="I140" s="7"/>
      <c r="J140" s="7"/>
      <c r="K140" s="8"/>
      <c r="L140" s="8"/>
      <c r="M140" s="7"/>
      <c r="N140" s="7"/>
      <c r="O140" s="773"/>
      <c r="P140" s="7"/>
      <c r="Q140" s="8"/>
      <c r="R140" s="439"/>
      <c r="S140" s="133"/>
      <c r="T140" s="133"/>
      <c r="U140" s="7"/>
      <c r="V140" s="8"/>
      <c r="W140" s="8"/>
      <c r="X140" s="8"/>
      <c r="Y140" s="8"/>
      <c r="Z140" s="8"/>
      <c r="AA140" s="8"/>
      <c r="AD140" s="8"/>
    </row>
    <row r="141" spans="1:30" s="355" customFormat="1">
      <c r="A141" s="7" t="s">
        <v>1534</v>
      </c>
      <c r="B141" s="773">
        <f t="shared" si="1"/>
        <v>24170.400000000001</v>
      </c>
      <c r="C141" s="29"/>
      <c r="D141" s="1266" t="s">
        <v>578</v>
      </c>
      <c r="E141" s="8"/>
      <c r="F141" s="7"/>
      <c r="G141" s="133"/>
      <c r="H141" s="495"/>
      <c r="I141" s="7"/>
      <c r="J141" s="7"/>
      <c r="K141" s="8"/>
      <c r="L141" s="8"/>
      <c r="M141" s="7"/>
      <c r="N141" s="7"/>
      <c r="O141" s="773"/>
      <c r="P141" s="7"/>
      <c r="Q141" s="8"/>
      <c r="R141" s="439"/>
      <c r="S141" s="133"/>
      <c r="T141" s="133"/>
      <c r="U141" s="7"/>
      <c r="V141" s="8"/>
      <c r="W141" s="8"/>
      <c r="X141" s="8"/>
      <c r="Y141" s="8"/>
      <c r="Z141" s="8"/>
      <c r="AA141" s="8"/>
      <c r="AD141" s="8"/>
    </row>
    <row r="142" spans="1:30" s="355" customFormat="1">
      <c r="A142" s="7" t="s">
        <v>1534</v>
      </c>
      <c r="B142" s="773">
        <f t="shared" si="1"/>
        <v>24170.400000000001</v>
      </c>
      <c r="C142" s="29"/>
      <c r="D142" s="1266" t="s">
        <v>578</v>
      </c>
      <c r="E142" s="8"/>
      <c r="F142" s="7"/>
      <c r="G142" s="133"/>
      <c r="H142" s="495"/>
      <c r="I142" s="7"/>
      <c r="J142" s="7"/>
      <c r="K142" s="8"/>
      <c r="L142" s="8"/>
      <c r="M142" s="7"/>
      <c r="N142" s="7"/>
      <c r="O142" s="773"/>
      <c r="P142" s="7"/>
      <c r="Q142" s="439"/>
      <c r="R142" s="439"/>
      <c r="S142" s="133"/>
      <c r="T142" s="133"/>
      <c r="U142" s="7"/>
      <c r="V142" s="8"/>
      <c r="W142" s="8"/>
      <c r="X142" s="8"/>
      <c r="Y142" s="8"/>
      <c r="Z142" s="8"/>
      <c r="AA142" s="8"/>
      <c r="AD142" s="8"/>
    </row>
    <row r="143" spans="1:30" s="820" customFormat="1">
      <c r="A143" s="7" t="s">
        <v>1534</v>
      </c>
      <c r="B143" s="773">
        <f t="shared" si="1"/>
        <v>-24170.400000000001</v>
      </c>
      <c r="C143" s="29"/>
      <c r="D143" s="1266" t="s">
        <v>578</v>
      </c>
      <c r="E143" s="8"/>
      <c r="F143" s="7"/>
      <c r="G143" s="133"/>
      <c r="H143" s="495"/>
      <c r="I143" s="7"/>
      <c r="J143" s="7"/>
      <c r="K143" s="8"/>
      <c r="L143" s="8"/>
      <c r="M143" s="7"/>
      <c r="N143" s="7"/>
      <c r="O143" s="773"/>
      <c r="P143" s="7"/>
      <c r="Q143" s="8"/>
      <c r="R143" s="439"/>
      <c r="S143" s="133"/>
      <c r="T143" s="133"/>
      <c r="U143" s="7"/>
      <c r="V143" s="8"/>
      <c r="W143" s="8"/>
      <c r="X143" s="8"/>
      <c r="Y143" s="8"/>
      <c r="Z143" s="8"/>
      <c r="AA143" s="8"/>
      <c r="AD143" s="8"/>
    </row>
    <row r="144" spans="1:30" s="820" customFormat="1">
      <c r="A144" s="7" t="s">
        <v>1534</v>
      </c>
      <c r="B144" s="773">
        <f t="shared" si="1"/>
        <v>24170.400000000001</v>
      </c>
      <c r="C144" s="29"/>
      <c r="D144" s="1266" t="s">
        <v>3360</v>
      </c>
      <c r="E144" s="132">
        <v>745</v>
      </c>
      <c r="F144" s="7"/>
      <c r="G144" s="133"/>
      <c r="H144" s="495"/>
      <c r="I144" s="7"/>
      <c r="J144" s="7"/>
      <c r="K144" s="8"/>
      <c r="L144" s="8"/>
      <c r="M144" s="7"/>
      <c r="N144" s="8"/>
      <c r="O144" s="773"/>
      <c r="P144" s="7"/>
      <c r="Q144" s="8"/>
      <c r="R144" s="439"/>
      <c r="S144" s="133"/>
      <c r="T144" s="133"/>
      <c r="U144" s="1135">
        <f>70+21*3</f>
        <v>133</v>
      </c>
      <c r="V144" s="8"/>
      <c r="W144" s="8"/>
      <c r="X144" s="8"/>
      <c r="Y144" s="8"/>
      <c r="Z144" s="8"/>
      <c r="AA144" s="8"/>
      <c r="AD144" s="8"/>
    </row>
    <row r="145" spans="1:30" s="115" customFormat="1">
      <c r="A145" s="7" t="s">
        <v>1534</v>
      </c>
      <c r="B145" s="773">
        <f t="shared" si="1"/>
        <v>-24170.400000000001</v>
      </c>
      <c r="C145" s="29"/>
      <c r="D145" s="1266" t="s">
        <v>3360</v>
      </c>
      <c r="E145" s="132">
        <v>745</v>
      </c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439"/>
      <c r="S145" s="8"/>
      <c r="T145" s="8"/>
      <c r="U145" s="8"/>
      <c r="V145" s="8"/>
      <c r="W145" s="8"/>
      <c r="X145" s="8"/>
      <c r="Y145" s="8"/>
      <c r="Z145" s="8"/>
      <c r="AA145" s="8"/>
      <c r="AD145" s="8"/>
    </row>
    <row r="146" spans="1:30" s="820" customFormat="1">
      <c r="A146" s="7" t="s">
        <v>463</v>
      </c>
      <c r="B146" s="1270">
        <f>SUM(R132:R144)</f>
        <v>0</v>
      </c>
      <c r="C146" s="1292" t="e">
        <f t="shared" ref="C146:C151" si="2">B145/B146</f>
        <v>#DIV/0!</v>
      </c>
      <c r="D146" s="1266" t="s">
        <v>575</v>
      </c>
      <c r="E146" s="8"/>
      <c r="F146" s="7"/>
      <c r="G146" s="133"/>
      <c r="H146" s="8"/>
      <c r="I146" s="7"/>
      <c r="J146" s="7"/>
      <c r="K146" s="404"/>
      <c r="L146" s="8"/>
      <c r="M146" s="7"/>
      <c r="N146" s="8"/>
      <c r="O146" s="773"/>
      <c r="P146" s="7"/>
      <c r="Q146" s="457"/>
      <c r="R146" s="439"/>
      <c r="S146" s="133"/>
      <c r="T146" s="133"/>
      <c r="U146" s="74"/>
      <c r="V146" s="8"/>
      <c r="W146" s="8"/>
      <c r="X146" s="8"/>
      <c r="Y146" s="8"/>
      <c r="Z146" s="8"/>
      <c r="AA146" s="8"/>
      <c r="AD146" s="8"/>
    </row>
    <row r="147" spans="1:30" s="355" customFormat="1">
      <c r="A147" s="7" t="s">
        <v>463</v>
      </c>
      <c r="B147" s="1270">
        <f>SUM(R124:R145)</f>
        <v>0</v>
      </c>
      <c r="C147" s="1292" t="e">
        <f t="shared" si="2"/>
        <v>#DIV/0!</v>
      </c>
      <c r="D147" s="1266" t="s">
        <v>575</v>
      </c>
      <c r="E147" s="8"/>
      <c r="F147" s="7"/>
      <c r="G147" s="133"/>
      <c r="H147" s="8"/>
      <c r="I147" s="7"/>
      <c r="J147" s="8"/>
      <c r="K147" s="404"/>
      <c r="L147" s="8"/>
      <c r="M147" s="7"/>
      <c r="N147" s="8"/>
      <c r="O147" s="773"/>
      <c r="P147" s="7"/>
      <c r="Q147" s="8"/>
      <c r="R147" s="439"/>
      <c r="S147" s="133"/>
      <c r="T147" s="133"/>
      <c r="U147" s="74"/>
      <c r="V147" s="8"/>
      <c r="W147" s="8"/>
      <c r="X147" s="8"/>
      <c r="Y147" s="8"/>
      <c r="Z147" s="8"/>
      <c r="AA147" s="8"/>
      <c r="AD147" s="8"/>
    </row>
    <row r="148" spans="1:30" s="355" customFormat="1">
      <c r="A148" s="7" t="s">
        <v>463</v>
      </c>
      <c r="B148" s="1399">
        <f>SUM(R119:R151)</f>
        <v>0</v>
      </c>
      <c r="C148" s="1292" t="e">
        <f t="shared" si="2"/>
        <v>#DIV/0!</v>
      </c>
      <c r="D148" s="1266" t="s">
        <v>575</v>
      </c>
      <c r="E148" s="8"/>
      <c r="F148" s="7"/>
      <c r="G148" s="133"/>
      <c r="H148" s="8"/>
      <c r="I148" s="7"/>
      <c r="J148" s="8"/>
      <c r="K148" s="404"/>
      <c r="L148" s="8"/>
      <c r="M148" s="7"/>
      <c r="N148" s="8"/>
      <c r="O148" s="773"/>
      <c r="P148" s="7"/>
      <c r="Q148" s="439"/>
      <c r="R148" s="439"/>
      <c r="S148" s="133"/>
      <c r="T148" s="133"/>
      <c r="U148" s="74"/>
      <c r="V148" s="8"/>
      <c r="W148" s="8"/>
      <c r="X148" s="8"/>
      <c r="Y148" s="8"/>
      <c r="Z148" s="8"/>
      <c r="AA148" s="8"/>
      <c r="AD148" s="8"/>
    </row>
    <row r="149" spans="1:30" s="900" customFormat="1">
      <c r="A149" s="7" t="s">
        <v>463</v>
      </c>
      <c r="B149" s="1399">
        <f>SUM(R123:R152)</f>
        <v>0</v>
      </c>
      <c r="C149" s="1292" t="e">
        <f t="shared" si="2"/>
        <v>#DIV/0!</v>
      </c>
      <c r="D149" s="1266" t="s">
        <v>575</v>
      </c>
      <c r="E149" s="8"/>
      <c r="F149" s="7"/>
      <c r="G149" s="133"/>
      <c r="H149" s="8"/>
      <c r="I149" s="7"/>
      <c r="J149" s="8"/>
      <c r="K149" s="404"/>
      <c r="L149" s="8"/>
      <c r="M149" s="7"/>
      <c r="N149" s="8"/>
      <c r="O149" s="773"/>
      <c r="P149" s="7"/>
      <c r="Q149" s="8"/>
      <c r="R149" s="439"/>
      <c r="S149" s="133"/>
      <c r="T149" s="133"/>
      <c r="U149" s="74"/>
      <c r="V149" s="8"/>
      <c r="W149" s="8"/>
      <c r="X149" s="8"/>
      <c r="Y149" s="8"/>
      <c r="Z149" s="8"/>
      <c r="AA149" s="8"/>
      <c r="AD149" s="8"/>
    </row>
    <row r="150" spans="1:30" s="820" customFormat="1" ht="12" customHeight="1">
      <c r="A150" s="7" t="s">
        <v>463</v>
      </c>
      <c r="B150" s="1399">
        <f>SUM(R125:R153)</f>
        <v>0</v>
      </c>
      <c r="C150" s="1292" t="e">
        <f t="shared" si="2"/>
        <v>#DIV/0!</v>
      </c>
      <c r="D150" s="1266" t="s">
        <v>3247</v>
      </c>
      <c r="E150" s="132">
        <v>132.46</v>
      </c>
      <c r="F150" s="7"/>
      <c r="G150" s="133"/>
      <c r="H150" s="407"/>
      <c r="I150" s="7"/>
      <c r="J150" s="8"/>
      <c r="K150" s="404"/>
      <c r="L150" s="8"/>
      <c r="M150" s="7"/>
      <c r="N150" s="8"/>
      <c r="O150" s="773"/>
      <c r="P150" s="7"/>
      <c r="Q150" s="8"/>
      <c r="R150" s="439"/>
      <c r="S150" s="133"/>
      <c r="T150" s="133" t="s">
        <v>3232</v>
      </c>
      <c r="U150" s="1780"/>
      <c r="V150" s="8"/>
      <c r="W150" s="8"/>
      <c r="X150" s="8"/>
      <c r="Y150" s="8"/>
      <c r="Z150" s="8"/>
      <c r="AA150" s="8"/>
      <c r="AD150" s="8"/>
    </row>
    <row r="151" spans="1:30" s="820" customFormat="1" ht="12" customHeight="1">
      <c r="A151" s="7" t="s">
        <v>463</v>
      </c>
      <c r="B151" s="1399">
        <f>SUM(R122:R154)</f>
        <v>0</v>
      </c>
      <c r="C151" s="1292" t="e">
        <f t="shared" si="2"/>
        <v>#DIV/0!</v>
      </c>
      <c r="D151" s="1266" t="s">
        <v>575</v>
      </c>
      <c r="E151" s="132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439"/>
      <c r="S151" s="8"/>
      <c r="T151" s="8"/>
      <c r="U151" s="8"/>
      <c r="V151" s="8"/>
      <c r="W151" s="8"/>
      <c r="X151" s="8"/>
      <c r="Y151" s="8"/>
      <c r="Z151" s="8"/>
      <c r="AA151" s="8"/>
      <c r="AD151" s="8"/>
    </row>
    <row r="152" spans="1:30" s="820" customFormat="1" ht="12" customHeight="1">
      <c r="A152" s="8"/>
      <c r="B152" s="7"/>
      <c r="C152" s="31"/>
      <c r="D152" s="31"/>
      <c r="E152" s="8"/>
      <c r="F152" s="8"/>
      <c r="G152" s="132"/>
      <c r="H152" s="8"/>
      <c r="I152" s="8"/>
      <c r="J152" s="8"/>
      <c r="K152" s="8"/>
      <c r="L152" s="8"/>
      <c r="M152" s="8"/>
      <c r="N152" s="49"/>
      <c r="O152" s="12"/>
      <c r="P152" s="8"/>
      <c r="Q152" s="8"/>
      <c r="R152" s="439"/>
      <c r="S152" s="132"/>
      <c r="T152" s="132"/>
      <c r="U152" s="603"/>
      <c r="V152" s="86"/>
      <c r="W152" s="8"/>
      <c r="X152" s="8"/>
      <c r="Y152" s="8"/>
      <c r="Z152" s="8"/>
      <c r="AA152" s="8"/>
      <c r="AD152" s="355"/>
    </row>
    <row r="153" spans="1:30" s="355" customFormat="1" ht="12" customHeight="1">
      <c r="A153" s="8"/>
      <c r="B153" s="8"/>
      <c r="C153" s="31"/>
      <c r="D153" s="31"/>
      <c r="E153" s="8"/>
      <c r="F153" s="8"/>
      <c r="G153" s="132"/>
      <c r="H153" s="8"/>
      <c r="I153" s="8"/>
      <c r="J153" s="8"/>
      <c r="K153" s="8"/>
      <c r="L153" s="8"/>
      <c r="M153" s="8"/>
      <c r="N153" s="49"/>
      <c r="O153" s="12"/>
      <c r="P153" s="8"/>
      <c r="Q153" s="457"/>
      <c r="R153" s="439"/>
      <c r="S153" s="132"/>
      <c r="T153" s="132"/>
      <c r="U153" s="603"/>
      <c r="V153" s="8"/>
      <c r="W153" s="8"/>
      <c r="X153" s="8"/>
      <c r="Y153" s="8"/>
      <c r="Z153" s="8"/>
      <c r="AA153" s="8"/>
    </row>
    <row r="154" spans="1:30" s="900" customFormat="1">
      <c r="A154" s="439"/>
      <c r="B154" s="8"/>
      <c r="C154" s="8"/>
      <c r="D154" s="8"/>
      <c r="E154" s="8"/>
      <c r="F154" s="8"/>
      <c r="G154" s="132"/>
      <c r="H154" s="495"/>
      <c r="I154" s="8"/>
      <c r="J154" s="8"/>
      <c r="K154" s="8"/>
      <c r="L154" s="8"/>
      <c r="M154" s="8"/>
      <c r="N154" s="8"/>
      <c r="O154" s="8"/>
      <c r="P154" s="8"/>
      <c r="Q154" s="457"/>
      <c r="R154" s="439"/>
      <c r="S154" s="132"/>
      <c r="T154" s="132"/>
      <c r="U154" s="8"/>
      <c r="V154" s="862"/>
      <c r="W154" s="8"/>
      <c r="X154" s="8"/>
      <c r="Y154" s="8"/>
      <c r="Z154" s="8"/>
      <c r="AA154" s="8"/>
      <c r="AD154" s="8"/>
    </row>
    <row r="155" spans="1:30" s="820" customFormat="1">
      <c r="A155" s="7"/>
      <c r="B155" s="7"/>
      <c r="C155" s="29"/>
      <c r="D155" s="1266" t="s">
        <v>576</v>
      </c>
      <c r="E155" s="8"/>
      <c r="F155" s="7"/>
      <c r="G155" s="133"/>
      <c r="H155" s="495"/>
      <c r="I155" s="7"/>
      <c r="J155" s="7"/>
      <c r="K155" s="404"/>
      <c r="L155" s="495"/>
      <c r="M155" s="7"/>
      <c r="N155" s="8"/>
      <c r="O155" s="773"/>
      <c r="P155" s="7"/>
      <c r="Q155" s="457"/>
      <c r="R155" s="439"/>
      <c r="S155" s="133"/>
      <c r="T155" s="133"/>
      <c r="U155" s="7"/>
      <c r="V155" s="8"/>
      <c r="W155" s="8"/>
      <c r="X155" s="8"/>
      <c r="Y155" s="8"/>
      <c r="Z155" s="8"/>
      <c r="AA155" s="8"/>
      <c r="AD155" s="946"/>
    </row>
    <row r="156" spans="1:30" s="1003" customFormat="1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439"/>
      <c r="S156" s="8"/>
      <c r="T156" s="8"/>
      <c r="U156" s="8"/>
      <c r="V156" s="8"/>
      <c r="W156" s="8"/>
      <c r="X156" s="8"/>
      <c r="Y156" s="8"/>
      <c r="Z156" s="8"/>
      <c r="AA156" s="8"/>
      <c r="AD156" s="838"/>
    </row>
    <row r="157" spans="1:30" s="820" customFormat="1" ht="10.8" thickBot="1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439"/>
      <c r="S157" s="8"/>
      <c r="T157" s="8"/>
      <c r="U157" s="8"/>
      <c r="V157" s="8"/>
      <c r="W157" s="8"/>
      <c r="X157" s="8"/>
      <c r="Y157" s="8"/>
      <c r="Z157" s="8"/>
      <c r="AA157" s="8"/>
      <c r="AD157" s="408"/>
    </row>
    <row r="158" spans="1:30" ht="10.8" thickBot="1">
      <c r="A158" s="1244"/>
      <c r="B158" s="782"/>
      <c r="D158" s="1244"/>
      <c r="E158" s="782"/>
    </row>
    <row r="159" spans="1:30" ht="10.8" thickBot="1">
      <c r="A159" s="519"/>
      <c r="B159" s="782"/>
      <c r="C159" s="1639"/>
      <c r="D159" s="10"/>
      <c r="E159" s="13"/>
    </row>
    <row r="160" spans="1:30" ht="10.8" thickBot="1">
      <c r="A160" s="7"/>
      <c r="B160" s="7"/>
      <c r="C160" s="29"/>
      <c r="D160" s="1324"/>
      <c r="E160" s="784"/>
      <c r="F160" s="7"/>
      <c r="G160" s="133"/>
      <c r="I160" s="7"/>
      <c r="J160" s="7"/>
      <c r="K160" s="7"/>
      <c r="L160" s="7"/>
      <c r="M160" s="7"/>
      <c r="N160" s="7"/>
      <c r="O160" s="7"/>
      <c r="P160" s="7"/>
      <c r="S160" s="133"/>
      <c r="T160" s="133"/>
      <c r="U160" s="7"/>
    </row>
    <row r="161" spans="1:22" ht="10.8" thickBot="1">
      <c r="A161" s="1244"/>
      <c r="B161" s="782"/>
      <c r="C161" s="31"/>
      <c r="D161" s="654"/>
      <c r="E161" s="13"/>
      <c r="F161" s="404"/>
      <c r="G161" s="132"/>
      <c r="H161" s="495"/>
      <c r="L161" s="15"/>
      <c r="N161" s="1103"/>
      <c r="O161" s="684"/>
      <c r="S161" s="132"/>
      <c r="T161" s="132"/>
      <c r="U161" s="1415"/>
      <c r="V161" s="86"/>
    </row>
    <row r="162" spans="1:22" ht="10.8" thickBot="1">
      <c r="A162" s="1253"/>
      <c r="B162" s="1281"/>
      <c r="D162" s="10"/>
      <c r="E162" s="13"/>
    </row>
    <row r="163" spans="1:22">
      <c r="A163" s="10"/>
      <c r="B163" s="13"/>
      <c r="C163" s="31"/>
      <c r="D163" s="654"/>
      <c r="E163" s="13"/>
      <c r="G163" s="132"/>
      <c r="L163" s="15"/>
      <c r="N163" s="1103"/>
      <c r="O163" s="684"/>
      <c r="S163" s="132"/>
      <c r="T163" s="132"/>
      <c r="U163" s="916"/>
      <c r="V163" s="86"/>
    </row>
    <row r="164" spans="1:22">
      <c r="D164" s="10"/>
      <c r="E164" s="13"/>
    </row>
    <row r="165" spans="1:22">
      <c r="D165" s="10"/>
      <c r="E165" s="13"/>
      <c r="G165" s="132"/>
      <c r="H165" s="495"/>
      <c r="O165" s="457"/>
      <c r="S165" s="132"/>
      <c r="T165" s="132"/>
      <c r="V165" s="862"/>
    </row>
    <row r="166" spans="1:22">
      <c r="A166" s="7"/>
      <c r="B166" s="7"/>
      <c r="C166" s="29"/>
      <c r="D166" s="17" t="s">
        <v>576</v>
      </c>
      <c r="E166" s="13"/>
      <c r="F166" s="7"/>
      <c r="G166" s="133"/>
      <c r="H166" s="495"/>
      <c r="I166" s="7"/>
      <c r="J166" s="457"/>
      <c r="K166" s="404"/>
      <c r="L166" s="495"/>
      <c r="M166" s="7"/>
      <c r="O166" s="773"/>
      <c r="P166" s="7"/>
      <c r="S166" s="133"/>
      <c r="T166" s="133"/>
      <c r="U166" s="7"/>
    </row>
    <row r="167" spans="1:22">
      <c r="D167" s="10"/>
      <c r="E167" s="13"/>
    </row>
    <row r="168" spans="1:22" ht="10.8" thickBot="1">
      <c r="D168" s="519"/>
      <c r="E168" s="541"/>
      <c r="O168" s="457"/>
    </row>
    <row r="170" spans="1:22">
      <c r="C170" s="1111"/>
    </row>
    <row r="171" spans="1:22">
      <c r="C171" s="1114"/>
    </row>
    <row r="172" spans="1:22">
      <c r="C172" s="1111"/>
    </row>
    <row r="177" spans="1:27">
      <c r="G177" s="132"/>
      <c r="H177" s="495"/>
      <c r="O177" s="457"/>
      <c r="S177" s="132"/>
      <c r="T177" s="132"/>
      <c r="V177" s="862"/>
    </row>
    <row r="178" spans="1:27">
      <c r="A178" s="7"/>
      <c r="B178" s="7"/>
      <c r="C178" s="29"/>
      <c r="D178" s="1266" t="s">
        <v>576</v>
      </c>
      <c r="F178" s="7"/>
      <c r="G178" s="133"/>
      <c r="H178" s="495">
        <f>450/1.2</f>
        <v>375</v>
      </c>
      <c r="I178" s="7"/>
      <c r="K178" s="404"/>
      <c r="L178" s="495"/>
      <c r="M178" s="870">
        <f>165*7</f>
        <v>1155</v>
      </c>
      <c r="O178" s="773"/>
      <c r="P178" s="7"/>
      <c r="Q178" s="439"/>
      <c r="S178" s="133"/>
      <c r="T178" s="133"/>
      <c r="U178" s="7"/>
    </row>
    <row r="179" spans="1:27">
      <c r="Q179" s="439"/>
    </row>
    <row r="180" spans="1:27" s="498" customFormat="1" ht="12" customHeight="1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439"/>
      <c r="R180" s="439"/>
      <c r="S180" s="8"/>
      <c r="T180" s="8"/>
      <c r="U180" s="13"/>
      <c r="V180" s="8"/>
      <c r="W180" s="8"/>
      <c r="X180" s="8"/>
      <c r="Y180" s="8"/>
      <c r="Z180" s="8"/>
      <c r="AA180" s="8"/>
    </row>
    <row r="181" spans="1:27" s="115" customFormat="1" ht="12" customHeight="1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439"/>
      <c r="S181" s="8"/>
      <c r="T181" s="8"/>
      <c r="U181" s="13"/>
      <c r="V181" s="8"/>
      <c r="W181" s="8"/>
      <c r="X181" s="8"/>
      <c r="Y181" s="8"/>
      <c r="Z181" s="8"/>
      <c r="AA181" s="8"/>
    </row>
    <row r="182" spans="1:27" s="115" customFormat="1" ht="12" customHeight="1">
      <c r="A182" s="8"/>
      <c r="B182" s="8"/>
      <c r="C182" s="8"/>
      <c r="D182" s="8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439"/>
      <c r="S182" s="8"/>
      <c r="T182" s="8"/>
      <c r="U182" s="13"/>
      <c r="V182" s="8"/>
      <c r="W182" s="8"/>
      <c r="X182" s="8"/>
      <c r="Y182" s="8"/>
      <c r="Z182" s="8"/>
      <c r="AA182" s="8"/>
    </row>
    <row r="183" spans="1:27" s="1148" customFormat="1" ht="12" customHeight="1">
      <c r="A183" s="8"/>
      <c r="B183" s="8"/>
      <c r="C183" s="8"/>
      <c r="D183" s="8"/>
      <c r="E183" s="8"/>
      <c r="F183" s="8"/>
      <c r="G183" s="132"/>
      <c r="H183" s="495"/>
      <c r="I183" s="8"/>
      <c r="J183" s="8"/>
      <c r="K183" s="8"/>
      <c r="L183" s="8"/>
      <c r="M183" s="8"/>
      <c r="N183" s="8"/>
      <c r="O183" s="457"/>
      <c r="P183" s="8"/>
      <c r="Q183" s="8"/>
      <c r="R183" s="439"/>
      <c r="S183" s="132"/>
      <c r="T183" s="132"/>
      <c r="U183" s="13"/>
      <c r="V183" s="862"/>
      <c r="W183" s="8"/>
      <c r="X183" s="8"/>
      <c r="Y183" s="8"/>
      <c r="Z183" s="8"/>
      <c r="AA183" s="8"/>
    </row>
    <row r="184" spans="1:27" s="1148" customFormat="1">
      <c r="A184" s="7"/>
      <c r="B184" s="7"/>
      <c r="C184" s="29"/>
      <c r="D184" s="1266" t="s">
        <v>576</v>
      </c>
      <c r="E184" s="8"/>
      <c r="F184" s="7"/>
      <c r="G184" s="133"/>
      <c r="H184" s="495"/>
      <c r="I184" s="7"/>
      <c r="J184" s="8"/>
      <c r="K184" s="404"/>
      <c r="L184" s="495"/>
      <c r="M184" s="7"/>
      <c r="N184" s="8"/>
      <c r="O184" s="773">
        <f>(O170+O171+O172+O173+O174+O175+O176+O177+O178+O180)*0.75</f>
        <v>0</v>
      </c>
      <c r="P184" s="7"/>
      <c r="Q184" s="862">
        <f>O175-U175</f>
        <v>0</v>
      </c>
      <c r="R184" s="439"/>
      <c r="S184" s="133"/>
      <c r="T184" s="133"/>
      <c r="U184" s="7"/>
      <c r="V184" s="8"/>
      <c r="W184" s="8"/>
      <c r="X184" s="8"/>
      <c r="Y184" s="8"/>
      <c r="Z184" s="8"/>
      <c r="AA184" s="8"/>
    </row>
    <row r="185" spans="1:27" s="115" customFormat="1">
      <c r="A185" s="8"/>
      <c r="B185" s="8"/>
      <c r="C185" s="8"/>
      <c r="D185" s="8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457"/>
      <c r="P185" s="8"/>
      <c r="Q185" s="8"/>
      <c r="R185" s="439"/>
      <c r="S185" s="8"/>
      <c r="T185" s="8"/>
      <c r="U185" s="8"/>
      <c r="V185" s="8"/>
      <c r="W185" s="8"/>
      <c r="X185" s="8"/>
      <c r="Y185" s="8"/>
      <c r="Z185" s="8"/>
      <c r="AA185" s="8"/>
    </row>
    <row r="186" spans="1:27" s="115" customFormat="1">
      <c r="A186" s="8"/>
      <c r="B186" s="8"/>
      <c r="C186" s="8"/>
      <c r="D186" s="8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439"/>
      <c r="S186" s="8"/>
      <c r="T186" s="8"/>
      <c r="U186" s="8"/>
      <c r="V186" s="8"/>
      <c r="W186" s="8"/>
      <c r="X186" s="8"/>
      <c r="Y186" s="8"/>
      <c r="Z186" s="8"/>
      <c r="AA186" s="8"/>
    </row>
    <row r="187" spans="1:27" s="115" customFormat="1">
      <c r="A187" s="8"/>
      <c r="B187" s="8"/>
      <c r="C187" s="8"/>
      <c r="D187" s="8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439"/>
      <c r="S187" s="8"/>
      <c r="T187" s="8"/>
      <c r="U187" s="8"/>
      <c r="V187" s="8"/>
      <c r="W187" s="8"/>
      <c r="X187" s="8"/>
      <c r="Y187" s="8"/>
      <c r="Z187" s="8"/>
      <c r="AA187" s="8"/>
    </row>
    <row r="188" spans="1:27" s="115" customFormat="1">
      <c r="A188" s="7"/>
      <c r="B188" s="7"/>
      <c r="C188" s="29"/>
      <c r="D188" s="1266" t="s">
        <v>3779</v>
      </c>
      <c r="E188" s="132">
        <v>1387.02</v>
      </c>
      <c r="F188" s="7"/>
      <c r="G188" s="133"/>
      <c r="H188" s="8"/>
      <c r="I188" s="7"/>
      <c r="J188" s="8"/>
      <c r="K188" s="404"/>
      <c r="L188" s="495"/>
      <c r="M188" s="7"/>
      <c r="N188" s="8"/>
      <c r="O188" s="773"/>
      <c r="P188" s="7"/>
      <c r="Q188" s="8"/>
      <c r="R188" s="439"/>
      <c r="S188" s="133"/>
      <c r="T188" s="133"/>
      <c r="U188" s="1135"/>
      <c r="V188" s="8"/>
      <c r="W188" s="8"/>
      <c r="X188" s="8"/>
      <c r="Y188" s="8"/>
      <c r="Z188" s="8"/>
      <c r="AA188" s="8"/>
    </row>
    <row r="189" spans="1:27" s="115" customFormat="1">
      <c r="A189" s="8"/>
      <c r="B189" s="8"/>
      <c r="C189" s="8"/>
      <c r="D189" s="8" t="s">
        <v>2525</v>
      </c>
      <c r="E189" s="132">
        <v>260</v>
      </c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439"/>
      <c r="S189" s="8"/>
      <c r="T189" s="8"/>
      <c r="U189" s="439"/>
      <c r="V189" s="8"/>
      <c r="W189" s="8"/>
      <c r="X189" s="8"/>
      <c r="Y189" s="8"/>
      <c r="Z189" s="8"/>
      <c r="AA189" s="8"/>
    </row>
    <row r="190" spans="1:27" s="115" customFormat="1">
      <c r="A190" s="8"/>
      <c r="B190" s="8"/>
      <c r="C190" s="8"/>
      <c r="D190" s="8" t="s">
        <v>3776</v>
      </c>
      <c r="E190" s="132">
        <v>467.64</v>
      </c>
      <c r="F190" s="8"/>
      <c r="G190" s="8"/>
      <c r="H190" s="8"/>
      <c r="I190" s="8"/>
      <c r="J190" s="8"/>
      <c r="K190" s="8"/>
      <c r="L190" s="8"/>
      <c r="M190" s="8"/>
      <c r="N190" s="7"/>
      <c r="O190" s="457">
        <f>O168-U168-1867.5</f>
        <v>-1867.5</v>
      </c>
      <c r="P190" s="8"/>
      <c r="Q190" s="8"/>
      <c r="R190" s="439"/>
      <c r="S190" s="8"/>
      <c r="T190" s="8"/>
      <c r="U190" s="439"/>
      <c r="V190" s="8"/>
      <c r="W190" s="8"/>
      <c r="X190" s="8"/>
      <c r="Y190" s="8"/>
      <c r="Z190" s="8"/>
      <c r="AA190" s="8"/>
    </row>
    <row r="191" spans="1:27" s="115" customFormat="1">
      <c r="A191" s="8"/>
      <c r="B191" s="8"/>
      <c r="C191" s="8"/>
      <c r="D191" s="8" t="s">
        <v>3255</v>
      </c>
      <c r="E191" s="132">
        <v>315.04000000000002</v>
      </c>
      <c r="F191" s="8"/>
      <c r="G191" s="8"/>
      <c r="H191" s="8"/>
      <c r="I191" s="8"/>
      <c r="J191" s="8"/>
      <c r="K191" s="8"/>
      <c r="L191" s="8"/>
      <c r="M191" s="8"/>
      <c r="N191" s="7"/>
      <c r="O191" s="457"/>
      <c r="P191" s="8"/>
      <c r="Q191" s="8"/>
      <c r="R191" s="439"/>
      <c r="S191" s="8"/>
      <c r="T191" s="8"/>
      <c r="U191" s="439"/>
      <c r="V191" s="8"/>
      <c r="W191" s="8"/>
      <c r="X191" s="8"/>
      <c r="Y191" s="8"/>
      <c r="Z191" s="8"/>
      <c r="AA191" s="8"/>
    </row>
    <row r="192" spans="1:27" s="115" customFormat="1">
      <c r="A192" s="8"/>
      <c r="B192" s="8"/>
      <c r="C192" s="8"/>
      <c r="D192" s="8" t="s">
        <v>3777</v>
      </c>
      <c r="E192" s="132">
        <f>833.8/2</f>
        <v>416.9</v>
      </c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439"/>
      <c r="S192" s="8"/>
      <c r="T192" s="8"/>
      <c r="U192" s="8"/>
      <c r="V192" s="8"/>
      <c r="W192" s="8"/>
      <c r="X192" s="8"/>
      <c r="Y192" s="8"/>
      <c r="Z192" s="8"/>
      <c r="AA192" s="8"/>
    </row>
    <row r="193" spans="1:27" s="115" customFormat="1" ht="12" customHeight="1">
      <c r="A193" s="8"/>
      <c r="B193" s="8"/>
      <c r="C193" s="8"/>
      <c r="D193" s="8" t="s">
        <v>3778</v>
      </c>
      <c r="E193" s="132">
        <f>7000/2</f>
        <v>3500</v>
      </c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439"/>
      <c r="S193" s="8"/>
      <c r="T193" s="8"/>
      <c r="U193" s="1457">
        <f>104500*0.9+55000*0.9</f>
        <v>143550</v>
      </c>
      <c r="V193" s="8"/>
      <c r="W193" s="8"/>
      <c r="X193" s="8"/>
      <c r="Y193" s="8"/>
      <c r="Z193" s="8"/>
      <c r="AA193" s="8"/>
    </row>
    <row r="194" spans="1:27" s="440" customFormat="1" ht="12" customHeight="1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439"/>
      <c r="S194" s="8"/>
      <c r="T194" s="8"/>
      <c r="U194" s="8"/>
      <c r="V194" s="8"/>
      <c r="W194" s="8"/>
      <c r="X194" s="8"/>
      <c r="Y194" s="8"/>
      <c r="Z194" s="8"/>
      <c r="AA194" s="8"/>
    </row>
    <row r="195" spans="1:27" s="115" customFormat="1" ht="12" customHeight="1">
      <c r="A195" s="8"/>
      <c r="B195" s="8"/>
      <c r="C195" s="8"/>
      <c r="D195" s="8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439"/>
      <c r="S195" s="8"/>
      <c r="T195" s="8"/>
      <c r="U195" s="8"/>
      <c r="V195" s="8"/>
      <c r="W195" s="8"/>
      <c r="X195" s="8"/>
      <c r="Y195" s="8"/>
      <c r="Z195" s="8"/>
      <c r="AA195" s="8"/>
    </row>
    <row r="196" spans="1:27" s="115" customFormat="1" ht="12" customHeight="1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439"/>
      <c r="S196" s="8"/>
      <c r="T196" s="8"/>
      <c r="U196" s="8"/>
      <c r="V196" s="8"/>
      <c r="W196" s="8"/>
      <c r="X196" s="8"/>
      <c r="Y196" s="8"/>
      <c r="Z196" s="8"/>
      <c r="AA196" s="8"/>
    </row>
    <row r="197" spans="1:27" s="115" customFormat="1" ht="12" customHeight="1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439"/>
      <c r="S197" s="8"/>
      <c r="T197" s="8"/>
      <c r="U197" s="8"/>
      <c r="V197" s="8"/>
      <c r="W197" s="8"/>
      <c r="X197" s="8"/>
      <c r="Y197" s="8"/>
      <c r="Z197" s="8"/>
      <c r="AA197" s="8"/>
    </row>
    <row r="198" spans="1:27" s="115" customFormat="1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439"/>
      <c r="S198" s="8"/>
      <c r="T198" s="8"/>
      <c r="U198" s="8"/>
      <c r="V198" s="8"/>
      <c r="W198" s="8"/>
      <c r="X198" s="8"/>
      <c r="Y198" s="8"/>
      <c r="Z198" s="8"/>
      <c r="AA198" s="8"/>
    </row>
    <row r="200" spans="1:27" ht="10.8" thickBot="1"/>
    <row r="201" spans="1:27" ht="10.8" thickBot="1">
      <c r="A201" s="1244"/>
      <c r="B201" s="782"/>
      <c r="D201" s="1244"/>
      <c r="E201" s="782"/>
    </row>
    <row r="202" spans="1:27" ht="10.8" thickBot="1">
      <c r="A202" s="519"/>
      <c r="B202" s="782"/>
      <c r="C202" s="1760"/>
      <c r="D202" s="10"/>
      <c r="E202" s="13"/>
    </row>
    <row r="203" spans="1:27" ht="10.8" thickBot="1">
      <c r="D203" s="10"/>
      <c r="E203" s="13"/>
    </row>
    <row r="204" spans="1:27" ht="10.8" thickBot="1">
      <c r="A204" s="1244"/>
      <c r="B204" s="782"/>
      <c r="D204" s="10"/>
      <c r="E204" s="13"/>
    </row>
    <row r="205" spans="1:27" ht="10.8" thickBot="1">
      <c r="A205" s="1253"/>
      <c r="B205" s="1281"/>
      <c r="D205" s="10"/>
      <c r="E205" s="13"/>
    </row>
    <row r="206" spans="1:27" ht="10.8" thickBot="1">
      <c r="A206" s="510"/>
      <c r="B206" s="784"/>
      <c r="C206" s="29"/>
      <c r="D206" s="786" t="s">
        <v>576</v>
      </c>
      <c r="E206" s="1226"/>
    </row>
  </sheetData>
  <sortState xmlns:xlrd2="http://schemas.microsoft.com/office/spreadsheetml/2017/richdata2" ref="AD2:AD209">
    <sortCondition ref="AD1:AD209"/>
  </sortState>
  <conditionalFormatting sqref="B21">
    <cfRule type="cellIs" dxfId="33" priority="11" stopIfTrue="1" operator="greaterThanOrEqual">
      <formula>0</formula>
    </cfRule>
    <cfRule type="cellIs" dxfId="32" priority="12" stopIfTrue="1" operator="lessThan">
      <formula>0</formula>
    </cfRule>
  </conditionalFormatting>
  <conditionalFormatting sqref="B55">
    <cfRule type="cellIs" dxfId="31" priority="9" stopIfTrue="1" operator="greaterThanOrEqual">
      <formula>0</formula>
    </cfRule>
    <cfRule type="cellIs" dxfId="30" priority="10" stopIfTrue="1" operator="lessThan">
      <formula>0</formula>
    </cfRule>
  </conditionalFormatting>
  <conditionalFormatting sqref="B95">
    <cfRule type="cellIs" dxfId="29" priority="7" stopIfTrue="1" operator="greaterThanOrEqual">
      <formula>0</formula>
    </cfRule>
    <cfRule type="cellIs" dxfId="28" priority="8" stopIfTrue="1" operator="lessThan">
      <formula>0</formula>
    </cfRule>
  </conditionalFormatting>
  <conditionalFormatting sqref="B130">
    <cfRule type="cellIs" dxfId="27" priority="5" stopIfTrue="1" operator="greaterThanOrEqual">
      <formula>0</formula>
    </cfRule>
    <cfRule type="cellIs" dxfId="26" priority="6" stopIfTrue="1" operator="lessThan">
      <formula>0</formula>
    </cfRule>
  </conditionalFormatting>
  <conditionalFormatting sqref="B163">
    <cfRule type="cellIs" dxfId="25" priority="3" stopIfTrue="1" operator="greaterThanOrEqual">
      <formula>0</formula>
    </cfRule>
    <cfRule type="cellIs" dxfId="24" priority="4" stopIfTrue="1" operator="lessThan">
      <formula>0</formula>
    </cfRule>
  </conditionalFormatting>
  <conditionalFormatting sqref="B206">
    <cfRule type="cellIs" dxfId="23" priority="1" stopIfTrue="1" operator="greaterThanOrEqual">
      <formula>0</formula>
    </cfRule>
    <cfRule type="cellIs" dxfId="22" priority="2" stopIfTrue="1" operator="lessThan">
      <formula>0</formula>
    </cfRule>
  </conditionalFormatting>
  <hyperlinks>
    <hyperlink ref="N74" r:id="rId1" xr:uid="{E5AF10EC-4309-4B6B-A9F4-A992D1DD6616}"/>
    <hyperlink ref="N19" r:id="rId2" xr:uid="{28FB09F2-7C91-4DE0-B60F-879A1B1717D9}"/>
    <hyperlink ref="N55" r:id="rId3" display="mailto:a.lukas@t-online.de" xr:uid="{BFB9492C-0113-405E-B86E-DA47410600CF}"/>
    <hyperlink ref="N75" r:id="rId4" xr:uid="{03CBED5A-C1D7-4E81-ADC3-EF09F139B30B}"/>
    <hyperlink ref="N35" r:id="rId5" xr:uid="{12B689FE-B0C9-4A23-93EE-3A428C6172AA}"/>
    <hyperlink ref="N18" r:id="rId6" xr:uid="{2C229EE4-AB00-498F-8D77-C371FABDB5C4}"/>
    <hyperlink ref="N32" r:id="rId7" xr:uid="{94634BA4-D700-4F50-AA89-C0327F4F3443}"/>
    <hyperlink ref="N46" r:id="rId8" xr:uid="{3C3B4A3C-ADA3-4943-9C73-A541C42A7EB9}"/>
    <hyperlink ref="N90" r:id="rId9" xr:uid="{A2F31752-2093-41CA-85C7-07988CC890B2}"/>
    <hyperlink ref="N109" r:id="rId10" xr:uid="{A205621E-B552-4FE9-AEA4-2304551182B6}"/>
    <hyperlink ref="N66" r:id="rId11" xr:uid="{67ADDF9B-ECE9-4FC5-A96F-8C2628AA304B}"/>
    <hyperlink ref="N3" r:id="rId12" xr:uid="{E61F44B7-87B3-4795-8240-960EA92F9E0D}"/>
    <hyperlink ref="N20" r:id="rId13" xr:uid="{64D02882-1399-4C22-BC82-258B7CB90C39}"/>
    <hyperlink ref="N93" r:id="rId14" xr:uid="{7BC97586-AD26-49CB-9417-DECA69F85612}"/>
    <hyperlink ref="N86" r:id="rId15" xr:uid="{2E43E3B9-F92A-4EC9-A868-444A4E28692A}"/>
    <hyperlink ref="N24" r:id="rId16" xr:uid="{1A4920CA-828A-4B94-AB8B-D201FC071625}"/>
    <hyperlink ref="N72" r:id="rId17" xr:uid="{BC890D00-434E-49C1-BE09-F5F039CBC09E}"/>
    <hyperlink ref="N61" r:id="rId18" xr:uid="{E9132BCE-7FEF-414C-946F-58FBF5118B6B}"/>
    <hyperlink ref="N100" r:id="rId19" xr:uid="{836034D1-02C5-4921-A472-B67C1568136C}"/>
    <hyperlink ref="N65" r:id="rId20" xr:uid="{E77BA3D0-5136-40A9-BE99-F3932C013C30}"/>
    <hyperlink ref="N111" r:id="rId21" xr:uid="{050203CC-1F00-4064-A0F0-3FF5A2742D28}"/>
    <hyperlink ref="N110" r:id="rId22" xr:uid="{D723EE21-385C-4F63-83D3-7BDB6F01C7BA}"/>
    <hyperlink ref="N50" r:id="rId23" xr:uid="{4A55B1C7-C4C5-47A5-97BD-87ACE01E8514}"/>
    <hyperlink ref="N16" r:id="rId24" xr:uid="{622AC0E3-D316-4BB0-9652-15375AD8B5B7}"/>
    <hyperlink ref="N9" r:id="rId25" xr:uid="{533E24A1-201B-4CA1-8C6A-0F5FD336634C}"/>
    <hyperlink ref="N26" r:id="rId26" xr:uid="{A077E000-33AB-4AA8-8626-914C03B7356C}"/>
    <hyperlink ref="N39" r:id="rId27" display="gaelle@touroul.com" xr:uid="{1D3ECFDF-7CAD-4A22-8979-63BD43C401D8}"/>
    <hyperlink ref="N29" r:id="rId28" xr:uid="{31277F59-29D1-4E9D-B7FD-4A6556CFCB64}"/>
    <hyperlink ref="N17" r:id="rId29" xr:uid="{2BBF518B-E35D-4DFA-9ECE-D34986DC7A0A}"/>
    <hyperlink ref="N94" r:id="rId30" xr:uid="{9EB4F190-C047-42BB-9C19-7C2E3E483389}"/>
    <hyperlink ref="N7" r:id="rId31" display="mailto:daenublaser@bluewin.ch" xr:uid="{CC81D52C-C605-4070-AAC0-ED97DB9888D0}"/>
    <hyperlink ref="N69" r:id="rId32" xr:uid="{9FBBBC05-E825-449A-B665-CF96498C40BE}"/>
    <hyperlink ref="N10" r:id="rId33" xr:uid="{21BFF1CE-6A64-4C42-9331-B73070E14C7C}"/>
    <hyperlink ref="N38" r:id="rId34" xr:uid="{83426C04-06E0-4C8A-A46F-BE5E08D54CCA}"/>
    <hyperlink ref="N105" r:id="rId35" xr:uid="{79EC3AC4-EC7B-4460-95E1-6FBDA0B8D049}"/>
    <hyperlink ref="N57" r:id="rId36" xr:uid="{5D5658CF-62FE-4BD5-8017-EF003D4F1AA8}"/>
    <hyperlink ref="N106" r:id="rId37" xr:uid="{05FC4CE7-2323-4333-9897-53D57FFA20B0}"/>
    <hyperlink ref="N81" r:id="rId38" xr:uid="{0423DBAA-48B1-4038-828C-734BEB81EBB5}"/>
    <hyperlink ref="N99" r:id="rId39" xr:uid="{4D9D2719-A156-4BED-A79D-985D345EBA7C}"/>
    <hyperlink ref="N92" r:id="rId40" xr:uid="{5E2BBC42-5F05-403E-BA7F-D02CF867319F}"/>
    <hyperlink ref="N84" r:id="rId41" xr:uid="{BE62CF5D-802A-4EA3-A28C-316A65180115}"/>
    <hyperlink ref="N101" r:id="rId42" xr:uid="{D1267E4C-1A02-4B76-AB58-E7881FA80C5B}"/>
    <hyperlink ref="N21" r:id="rId43" xr:uid="{1F60EF47-32D6-4FE2-B543-52DFF8570791}"/>
    <hyperlink ref="N87" r:id="rId44" xr:uid="{0DFE7AF6-A136-420A-82AE-A964FE799BF4}"/>
    <hyperlink ref="N95" r:id="rId45" xr:uid="{5E9523E0-1061-4557-8449-A30F5EF45626}"/>
    <hyperlink ref="N11" r:id="rId46" xr:uid="{C4A500F1-CA04-4B42-AF4B-BA828ED721B1}"/>
    <hyperlink ref="N45" r:id="rId47" xr:uid="{20396417-537B-4ECD-ADEB-331DA7D285A3}"/>
    <hyperlink ref="N2" r:id="rId48" xr:uid="{B4C596DF-1D7B-40ED-8107-5687E7AB9F89}"/>
    <hyperlink ref="N102" r:id="rId49" xr:uid="{6CDD3E6E-3D87-4667-9225-3FFC2A9B2944}"/>
    <hyperlink ref="N14" r:id="rId50" xr:uid="{CEC39FDE-CFF7-4651-99C4-5D91CA90CF78}"/>
    <hyperlink ref="N77" r:id="rId51" xr:uid="{67901410-EA75-4F2A-8BA7-208CFA3A1BBF}"/>
    <hyperlink ref="N78" r:id="rId52" xr:uid="{93A2EB21-E328-4E57-A283-714BF5184463}"/>
    <hyperlink ref="N112" r:id="rId53" xr:uid="{D72271B3-A38E-4FEF-A178-019CD4451A2A}"/>
    <hyperlink ref="N52" r:id="rId54" xr:uid="{8D961DF6-B767-4AF8-B817-15750C31F2FC}"/>
    <hyperlink ref="N40" r:id="rId55" display="gaelle@touroul.com" xr:uid="{4B93B172-9207-499E-9B54-BC62421CFA25}"/>
    <hyperlink ref="N98" r:id="rId56" xr:uid="{CA5327EA-464C-4749-B84B-70EF888CAC82}"/>
    <hyperlink ref="N80" r:id="rId57" xr:uid="{3A979F7A-56A1-451F-9C6F-E4811B7E2FE1}"/>
    <hyperlink ref="N97" r:id="rId58" xr:uid="{551C995C-7670-45DC-8441-8417938BC9BF}"/>
    <hyperlink ref="N25" r:id="rId59" xr:uid="{94FBF7F1-6DDC-4F4A-B4B7-B65A7FD01EF2}"/>
    <hyperlink ref="N33" r:id="rId60" xr:uid="{91A9553A-C0B1-4609-BC2B-175B40048AB1}"/>
    <hyperlink ref="N54" r:id="rId61" xr:uid="{E45C1BF3-D7B1-4B9D-B4A1-9DFCEE62F6BF}"/>
    <hyperlink ref="N73" r:id="rId62" xr:uid="{0CF0569D-F899-4268-9C08-406F64A4D2B0}"/>
    <hyperlink ref="N43" r:id="rId63" xr:uid="{82789714-5E5C-4C32-ABAC-478DABA883FC}"/>
    <hyperlink ref="N79" r:id="rId64" xr:uid="{C593DD51-8773-484B-9144-0EDF5E1F1B42}"/>
    <hyperlink ref="N82" r:id="rId65" xr:uid="{333BA5F2-4A48-4663-A811-2665E20BEBBD}"/>
    <hyperlink ref="N107" r:id="rId66" xr:uid="{5AAA4B66-B7DB-4EC1-A1F1-CEB6D2C4094C}"/>
    <hyperlink ref="N70" r:id="rId67" xr:uid="{7AF7FA26-EA22-4D89-B396-011DAE9CEDB2}"/>
    <hyperlink ref="N34" r:id="rId68" xr:uid="{B676E43E-013F-41D5-A497-5D4A8BD0431A}"/>
    <hyperlink ref="N64" r:id="rId69" xr:uid="{BF4BEA6E-E661-49DD-B46A-DA950F53006D}"/>
    <hyperlink ref="N59" r:id="rId70" xr:uid="{E9F48E4B-D457-4617-95CB-304BE5C3DA32}"/>
    <hyperlink ref="N47" r:id="rId71" xr:uid="{3E3AAF5B-3652-4E3D-B864-6A5D18B3B4D5}"/>
    <hyperlink ref="N8" r:id="rId72" xr:uid="{34488C98-ACF3-40BD-B176-F599CD9CCCE8}"/>
    <hyperlink ref="N13" r:id="rId73" xr:uid="{EB5F16C9-B317-4F72-B0D8-0F92CC6F5688}"/>
    <hyperlink ref="N41" r:id="rId74" xr:uid="{B8A62BC2-F7C4-4840-97B6-B937D56032CE}"/>
    <hyperlink ref="N113" r:id="rId75" xr:uid="{C4A1F846-A8DB-42EC-A3E8-50B98EB8C5C8}"/>
    <hyperlink ref="N89" r:id="rId76" xr:uid="{0ED33B73-1443-40BF-B7BA-ED5C0E2BEA34}"/>
    <hyperlink ref="N28" r:id="rId77" xr:uid="{63FE8EFD-164D-493C-B893-603D2F357A4D}"/>
    <hyperlink ref="N83" r:id="rId78" xr:uid="{555AB5C3-2913-4153-AC2C-D8D5BD65E1F2}"/>
    <hyperlink ref="N49" r:id="rId79" xr:uid="{7E20669D-4348-49E3-953D-777933644210}"/>
    <hyperlink ref="N22" r:id="rId80" xr:uid="{6A47B8EC-D1D7-4C5C-BA0D-03698B74C871}"/>
    <hyperlink ref="N48" r:id="rId81" xr:uid="{66892918-5F58-42C8-B1AF-3D3C19DB1489}"/>
    <hyperlink ref="N5" r:id="rId82" xr:uid="{566ADA49-9BAD-4875-9A43-E0E7F0622F90}"/>
    <hyperlink ref="N12" r:id="rId83" xr:uid="{9A3AD0CF-80FC-4962-824F-51D6585AE0CD}"/>
    <hyperlink ref="N44" r:id="rId84" xr:uid="{616BB994-8668-492F-89F5-879B95DDA0F1}"/>
    <hyperlink ref="N71" r:id="rId85" xr:uid="{A319A0CB-FF80-451D-A247-51DCE6BD6EE2}"/>
    <hyperlink ref="N27" r:id="rId86" xr:uid="{54E761EA-B1B2-4856-AB65-AD09A15892FD}"/>
    <hyperlink ref="N58" r:id="rId87" xr:uid="{6BFADCE2-F82E-4120-836A-B577E2DFB340}"/>
    <hyperlink ref="N15" r:id="rId88" xr:uid="{D669D201-2476-440A-8322-FA5B33C79425}"/>
    <hyperlink ref="N30" r:id="rId89" xr:uid="{FC4264DB-F0C1-4625-B3D3-AA8290E39C41}"/>
    <hyperlink ref="N62" r:id="rId90" xr:uid="{33A6AF5B-F4DC-4C93-87FC-6413DFD22379}"/>
    <hyperlink ref="N63" r:id="rId91" xr:uid="{AEA9C10D-2206-41EE-B008-5CA35DA5C376}"/>
    <hyperlink ref="N76" r:id="rId92" xr:uid="{75BC1997-B356-42FD-ADFD-E5AE48E6AAE4}"/>
    <hyperlink ref="N68" r:id="rId93" xr:uid="{B13AC084-DCA3-4DB5-B8E9-68480DA85648}"/>
    <hyperlink ref="N114" r:id="rId94" xr:uid="{71B6B9FF-7593-456C-97AD-32AE0B3220F4}"/>
    <hyperlink ref="N42" r:id="rId95" xr:uid="{D62BA7A5-14A3-4ACE-9584-682C2254D443}"/>
    <hyperlink ref="N23" r:id="rId96" xr:uid="{6E04D1F7-3851-437D-8301-6A76E8EAEBEE}"/>
    <hyperlink ref="N103" r:id="rId97" xr:uid="{2856555B-5BC6-4FAB-9043-D6DC9AB20807}"/>
    <hyperlink ref="N53" r:id="rId98" xr:uid="{E6767C75-68AE-46A6-BB9E-1886FEBB2D41}"/>
    <hyperlink ref="N37" r:id="rId99" display="mailto:utejacobs@gmx.net" xr:uid="{3F0F0F00-619F-4574-B4CA-1EC5A247FFC6}"/>
    <hyperlink ref="N31" r:id="rId100" xr:uid="{2C330F07-6073-4BA0-B125-596DE347D60B}"/>
    <hyperlink ref="N60" r:id="rId101" xr:uid="{111F1E00-DB70-4056-A03A-C4C68EF75A6A}"/>
    <hyperlink ref="N51" r:id="rId102" xr:uid="{2D95E2C5-ACE6-4698-B2DA-6E26D3C19CD3}"/>
    <hyperlink ref="N56" r:id="rId103" xr:uid="{2E0D99CB-E388-4451-8C2E-A8A1DAFF91AB}"/>
    <hyperlink ref="N6" r:id="rId104" xr:uid="{8F383A33-01F4-42D8-BA97-AB87D5189238}"/>
    <hyperlink ref="N96" r:id="rId105" xr:uid="{C34C8D61-7541-4D7F-B09E-3659F08204AF}"/>
    <hyperlink ref="N67" r:id="rId106" xr:uid="{D7D6CEB4-DBAF-4ADC-8234-B99CB98B1941}"/>
    <hyperlink ref="N36" r:id="rId107" xr:uid="{296C6FCD-D81C-4529-BB0A-4B336C993A82}"/>
    <hyperlink ref="AB110" r:id="rId108" xr:uid="{B754D2B2-340C-4212-A93C-6E251A0B8D23}"/>
    <hyperlink ref="AB97" r:id="rId109" xr:uid="{FD0EA932-0E70-4FE4-947D-B7AF6796BBC8}"/>
    <hyperlink ref="AB101" r:id="rId110" xr:uid="{D271828B-CD58-468E-AE81-62B82DFD688F}"/>
    <hyperlink ref="AB103" r:id="rId111" xr:uid="{A5E57244-C409-4398-AF5C-24994F18D938}"/>
    <hyperlink ref="AB111" r:id="rId112" xr:uid="{64BBDC8E-FB38-40B9-9EC4-7E7E27FD06FB}"/>
    <hyperlink ref="AB102" r:id="rId113" xr:uid="{7F781217-B97A-4407-A7A1-BBE6CEFB11C8}"/>
    <hyperlink ref="AB108" r:id="rId114" xr:uid="{1463CA80-8A47-4B37-943B-30BA4FCC5637}"/>
    <hyperlink ref="AB109" r:id="rId115" xr:uid="{A44A9904-0C97-4598-87D5-EEC803627A15}"/>
    <hyperlink ref="AB99" r:id="rId116" xr:uid="{DC9AFFE9-224D-4CBF-879D-E2D215D2D996}"/>
    <hyperlink ref="AB105" r:id="rId117" xr:uid="{4BECC0AD-FD2E-42A5-B2DC-BB85FCEDCABF}"/>
    <hyperlink ref="AB104" r:id="rId118" xr:uid="{E594AA3B-04D4-4083-BEC7-0736F9485BAE}"/>
    <hyperlink ref="AB107" r:id="rId119" xr:uid="{AB2DFAE7-8417-40D9-AD37-91AC85D9913B}"/>
    <hyperlink ref="AB96" r:id="rId120" xr:uid="{C3D8829F-814E-40B3-9DA9-7A7FA4204C32}"/>
    <hyperlink ref="AB98" r:id="rId121" xr:uid="{A055E6B0-2EDA-4BB3-A87C-A9573651DF2D}"/>
    <hyperlink ref="AB100" r:id="rId122" xr:uid="{23B2B5C6-2348-4309-9B88-97D1A68E0107}"/>
    <hyperlink ref="AD79" r:id="rId123" xr:uid="{FD20A5A0-BA1F-4826-9D9C-6F5064D824EA}"/>
    <hyperlink ref="AD21" r:id="rId124" xr:uid="{D3847C89-B6A2-4837-918E-97295BBD1A6A}"/>
    <hyperlink ref="AD2" r:id="rId125" display="mailto:a.lukas@t-online.de" xr:uid="{77AD1A0A-435C-4210-BB13-9066557F4BF3}"/>
    <hyperlink ref="AD17" r:id="rId126" xr:uid="{EAD84194-9C23-42DA-A869-542387CFE064}"/>
    <hyperlink ref="AD75" r:id="rId127" xr:uid="{4BDF50CF-1A71-406C-9DFE-5A87C2F95ADF}"/>
    <hyperlink ref="AD25" r:id="rId128" xr:uid="{5BB95F85-5742-4F54-BD6F-88736CC9DF28}"/>
    <hyperlink ref="AD76" r:id="rId129" xr:uid="{AD748B9B-2E43-42E4-AE30-87726C92BEF9}"/>
    <hyperlink ref="AD31" r:id="rId130" xr:uid="{1453488D-885D-4C90-A662-146B8C41B9F3}"/>
    <hyperlink ref="AD27" r:id="rId131" xr:uid="{59D4F907-0517-4326-801C-29DEB7A7C1AD}"/>
    <hyperlink ref="AD53" r:id="rId132" xr:uid="{CD814F9D-9779-42B6-895A-35D4E603B195}"/>
    <hyperlink ref="AD73" r:id="rId133" xr:uid="{D2F31BE7-2FBD-4207-9773-7C35A6DA091D}"/>
    <hyperlink ref="AD60" r:id="rId134" xr:uid="{049301DF-A483-413D-B440-5CEB61955AE9}"/>
    <hyperlink ref="AD11" r:id="rId135" xr:uid="{69B582EC-8BD3-41D3-A7F9-2CDC832297B9}"/>
    <hyperlink ref="AD39" r:id="rId136" xr:uid="{3AB5D06C-A1C6-43BD-A796-0FBC3F28159C}"/>
    <hyperlink ref="AD74" r:id="rId137" xr:uid="{FCCE4460-FC60-4A8C-BBA1-41B00ABC0D2C}"/>
    <hyperlink ref="AD56" r:id="rId138" xr:uid="{903EE111-07EE-4490-B9FB-B636EC416F4A}"/>
    <hyperlink ref="AD13" r:id="rId139" xr:uid="{1DC90BBB-A82C-4254-9A0D-C609872A2111}"/>
    <hyperlink ref="AD20" r:id="rId140" xr:uid="{80C31DCA-2AEE-44BB-92AD-BA10BA3D07D6}"/>
    <hyperlink ref="AD65" r:id="rId141" xr:uid="{BA1208A5-A912-409B-95CA-46D2381E21FD}"/>
    <hyperlink ref="AD62" r:id="rId142" xr:uid="{367A9716-D780-4043-9E37-8F58B51A59B2}"/>
    <hyperlink ref="AD23" r:id="rId143" display="mailto:daenublaser@bluewin.ch" xr:uid="{ED635654-6C42-4646-9629-8C9057B9227E}"/>
    <hyperlink ref="AD6" r:id="rId144" xr:uid="{D884EB99-EA06-4370-B7EA-9F25A1257811}"/>
    <hyperlink ref="AD18" r:id="rId145" xr:uid="{2B6954B2-8A02-468F-8861-F6CE9CBD5B6D}"/>
    <hyperlink ref="AD59" r:id="rId146" xr:uid="{8C5C252D-0E2F-4CEA-9338-44280FAD783E}"/>
    <hyperlink ref="AD37" r:id="rId147" xr:uid="{CCD8132A-4089-49A2-AE3B-09EFB41A348C}"/>
    <hyperlink ref="AD72" r:id="rId148" xr:uid="{B0AF4A57-4CED-4BE1-A201-7B6639AEA9C9}"/>
    <hyperlink ref="AD10" r:id="rId149" xr:uid="{AB7EF289-D9DC-44D9-A8D1-E4D1840BEB3F}"/>
    <hyperlink ref="AD63" r:id="rId150" xr:uid="{BEB4E7B7-1792-49D1-AF5C-FD09F643D258}"/>
    <hyperlink ref="AD43" r:id="rId151" xr:uid="{BC17ECFF-2BA8-4640-A313-DC00DA4407F1}"/>
    <hyperlink ref="AD42" r:id="rId152" xr:uid="{5A231D54-E407-45CB-8F5D-2849D6BA7DBA}"/>
    <hyperlink ref="AD3" r:id="rId153" xr:uid="{D3360381-513A-47EE-8E22-FA5EE96AE9F7}"/>
    <hyperlink ref="AD68" r:id="rId154" xr:uid="{D0EB938E-14D6-4684-BEF1-120A5EC0DB6B}"/>
    <hyperlink ref="AD26" r:id="rId155" xr:uid="{D53E2E16-785C-40C2-B7AE-E99ACF01F591}"/>
    <hyperlink ref="AD41" r:id="rId156" display="gaelle@touroul.com" xr:uid="{BCE8BC7C-E42F-4388-B1C8-74F2FB75F216}"/>
    <hyperlink ref="AD9" r:id="rId157" xr:uid="{8A71C8D2-A842-4490-9DDE-A7020C22EC64}"/>
    <hyperlink ref="AD24" r:id="rId158" xr:uid="{A0C58F08-5997-47E2-BD69-8187DE87B7C4}"/>
    <hyperlink ref="AD34" r:id="rId159" xr:uid="{ECFBF09D-5A7E-4B0B-9C0D-92D50D30B324}"/>
    <hyperlink ref="AD36" r:id="rId160" xr:uid="{F484E61A-03E7-4205-8EFF-E0E2AC54DD84}"/>
    <hyperlink ref="AD35" r:id="rId161" xr:uid="{9BEC5D34-EB61-4E41-9482-D58BDD852EB7}"/>
    <hyperlink ref="AD33" r:id="rId162" xr:uid="{4DD3A1CF-1C5C-4D00-B4A3-3404F6A565A2}"/>
    <hyperlink ref="AD19" r:id="rId163" xr:uid="{A20FDFCB-35BC-4949-A3A7-816A581C729B}"/>
    <hyperlink ref="AD64" r:id="rId164" xr:uid="{B526B215-6649-4427-9F09-1896B0129D7F}"/>
    <hyperlink ref="AD29" r:id="rId165" xr:uid="{AFA9343E-2E1F-4B8F-B644-03CB8003377E}"/>
    <hyperlink ref="AD16" r:id="rId166" xr:uid="{55F03A84-DB4A-4ACA-BA4A-EC4175ABBE98}"/>
    <hyperlink ref="AD15" r:id="rId167" xr:uid="{692EDAC7-F520-44DC-881B-64EFB56ABDEF}"/>
    <hyperlink ref="AD57" r:id="rId168" xr:uid="{0895128F-634F-4B9A-80E3-2667AE4543A7}"/>
    <hyperlink ref="AD52" r:id="rId169" xr:uid="{681515C6-5053-459C-BC7E-CEDCB6E67696}"/>
    <hyperlink ref="AD50" r:id="rId170" xr:uid="{AC75EC23-A3CD-4AC5-BA22-9CE58EEF111A}"/>
    <hyperlink ref="AD28" r:id="rId171" xr:uid="{6842A695-7E01-4D7D-8784-67B0352DA327}"/>
    <hyperlink ref="AD32" r:id="rId172" xr:uid="{7E6CA655-98ED-4F08-9339-0C5F65AD5742}"/>
    <hyperlink ref="AD46" r:id="rId173" xr:uid="{1239D4EF-ED5E-4A0E-899D-F287A0B04DD2}"/>
    <hyperlink ref="AD22" r:id="rId174" xr:uid="{E8461BC2-D4AD-4A8E-9720-709A2E386836}"/>
    <hyperlink ref="AD40" r:id="rId175" xr:uid="{CA487D40-242E-4CA8-97D6-1A67116739BB}"/>
    <hyperlink ref="AD61" r:id="rId176" xr:uid="{FF94EF34-2E7F-4C9C-BEB9-3F5C495C650F}"/>
    <hyperlink ref="AD71" r:id="rId177" xr:uid="{47344E06-A942-470A-B9C5-061D4EFA3745}"/>
    <hyperlink ref="AD12" r:id="rId178" xr:uid="{8DEAB2CD-4A26-4094-BCD9-6C4E9188E47D}"/>
    <hyperlink ref="AD7" r:id="rId179" xr:uid="{DD2CCADA-8606-4417-A947-9C0C3353D542}"/>
    <hyperlink ref="AD77" r:id="rId180" xr:uid="{9CF34FAD-E23D-473A-8596-F146AB24B4E6}"/>
    <hyperlink ref="AD30" r:id="rId181" xr:uid="{945F6D27-4132-4A69-AEEF-C6C37F6B369C}"/>
    <hyperlink ref="AD69" r:id="rId182" xr:uid="{8C230678-0444-4872-871B-183DB3424B0C}"/>
    <hyperlink ref="AD45" r:id="rId183" xr:uid="{66B6D4B6-D377-4D6A-9F77-4B76A434AA79}"/>
    <hyperlink ref="AD58" r:id="rId184" xr:uid="{44562C20-8E28-499F-BB6F-5DF19A1DB231}"/>
    <hyperlink ref="AD80" r:id="rId185" xr:uid="{CE572ED2-35D0-475B-B6E6-1B7EB49352EF}"/>
    <hyperlink ref="AD49" r:id="rId186" xr:uid="{70898F85-AFAE-460B-A5EE-8A8E022E7302}"/>
    <hyperlink ref="AD54" r:id="rId187" xr:uid="{A847BA08-AEEE-43E1-BA17-0A2B640A7378}"/>
    <hyperlink ref="AD5" r:id="rId188" xr:uid="{2729D9BB-939A-4064-B206-635E8B47C396}"/>
    <hyperlink ref="AD67" r:id="rId189" xr:uid="{3076EDFB-83DB-4424-B0A6-1A6FC4D7A1BF}"/>
    <hyperlink ref="AD70" r:id="rId190" xr:uid="{3CDF4924-61F9-4367-9FE1-55DFFC47E693}"/>
    <hyperlink ref="AD78" r:id="rId191" display="mailto:utejacobs@gmx.net" xr:uid="{343BA1F9-871A-4F93-B7D0-8F181BFE144A}"/>
    <hyperlink ref="AD8" r:id="rId192" xr:uid="{B6FB3B7A-67C1-4806-A28C-BA815C973516}"/>
    <hyperlink ref="AD55" r:id="rId193" xr:uid="{229FDF99-6F46-4181-A548-0773EB6A97B6}"/>
    <hyperlink ref="AD4" r:id="rId194" xr:uid="{9292EA10-0CC5-40DA-A724-1AA32B829714}"/>
    <hyperlink ref="AD44" r:id="rId195" xr:uid="{482DD2E7-3D1F-4EDC-A954-A317697C04FF}"/>
    <hyperlink ref="AD38" r:id="rId196" xr:uid="{D7243317-BA88-4F10-8D4E-8AF2B9D95076}"/>
    <hyperlink ref="AD66" r:id="rId197" xr:uid="{CC3B4796-AE58-4FCD-B156-905C25C5855D}"/>
    <hyperlink ref="AD48" r:id="rId198" xr:uid="{C8DAFD8D-662B-4A5F-B7A3-13BF50C63A5A}"/>
  </hyperlinks>
  <pageMargins left="0.7" right="0.7" top="0.75" bottom="0.75" header="0.3" footer="0.3"/>
  <pageSetup paperSize="9" orientation="portrait" verticalDpi="0" r:id="rId199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21AFC-05F2-47CB-B354-8966C7978799}">
  <dimension ref="A1:Z666"/>
  <sheetViews>
    <sheetView topLeftCell="A272" workbookViewId="0">
      <selection activeCell="H325" sqref="H325"/>
    </sheetView>
  </sheetViews>
  <sheetFormatPr baseColWidth="10" defaultColWidth="12.21875" defaultRowHeight="10.199999999999999"/>
  <cols>
    <col min="1" max="2" width="14" style="139" customWidth="1"/>
    <col min="3" max="3" width="11.21875" style="154" customWidth="1"/>
    <col min="4" max="4" width="13.33203125" style="154" customWidth="1"/>
    <col min="5" max="5" width="20.21875" style="139" customWidth="1"/>
    <col min="6" max="6" width="7.21875" style="139" hidden="1" customWidth="1"/>
    <col min="7" max="7" width="7.21875" style="140" customWidth="1"/>
    <col min="8" max="8" width="22.5546875" style="139" bestFit="1" customWidth="1"/>
    <col min="9" max="9" width="8" style="139" customWidth="1"/>
    <col min="10" max="10" width="5.77734375" style="139" customWidth="1"/>
    <col min="11" max="11" width="13.77734375" style="139" customWidth="1"/>
    <col min="12" max="12" width="21.109375" style="139" customWidth="1"/>
    <col min="13" max="13" width="7.44140625" style="139" hidden="1" customWidth="1"/>
    <col min="14" max="14" width="24.6640625" style="139" customWidth="1"/>
    <col min="15" max="15" width="8.44140625" style="139" customWidth="1"/>
    <col min="16" max="16" width="12.21875" style="139" hidden="1" customWidth="1"/>
    <col min="17" max="17" width="29.44140625" style="139" customWidth="1"/>
    <col min="18" max="18" width="3.21875" style="140" customWidth="1"/>
    <col min="19" max="19" width="6.6640625" style="140" customWidth="1"/>
    <col min="20" max="20" width="3.21875" style="140" customWidth="1"/>
    <col min="21" max="21" width="18.109375" style="139" bestFit="1" customWidth="1"/>
    <col min="22" max="22" width="22.21875" style="139" bestFit="1" customWidth="1"/>
    <col min="23" max="16384" width="12.21875" style="139"/>
  </cols>
  <sheetData>
    <row r="1" spans="1:26">
      <c r="A1" s="136" t="s">
        <v>0</v>
      </c>
      <c r="B1" s="136" t="s">
        <v>1</v>
      </c>
      <c r="C1" s="137" t="s">
        <v>370</v>
      </c>
      <c r="D1" s="137" t="s">
        <v>371</v>
      </c>
      <c r="E1" s="136" t="s">
        <v>2</v>
      </c>
      <c r="F1" s="136" t="s">
        <v>3</v>
      </c>
      <c r="G1" s="138" t="s">
        <v>4</v>
      </c>
      <c r="H1" s="136" t="s">
        <v>16</v>
      </c>
      <c r="I1" s="136" t="s">
        <v>5</v>
      </c>
      <c r="J1" s="136" t="s">
        <v>6</v>
      </c>
      <c r="K1" s="136" t="s">
        <v>7</v>
      </c>
      <c r="L1" s="136" t="s">
        <v>21</v>
      </c>
      <c r="M1" s="136" t="s">
        <v>8</v>
      </c>
      <c r="N1" s="136" t="s">
        <v>9</v>
      </c>
      <c r="O1" s="136" t="s">
        <v>418</v>
      </c>
      <c r="P1" s="136" t="s">
        <v>38</v>
      </c>
      <c r="Q1" s="139" t="s">
        <v>67</v>
      </c>
      <c r="R1" s="140" t="s">
        <v>417</v>
      </c>
      <c r="S1" s="138" t="s">
        <v>416</v>
      </c>
      <c r="T1" s="138" t="s">
        <v>105</v>
      </c>
      <c r="U1" s="136" t="s">
        <v>231</v>
      </c>
      <c r="V1" s="139" t="s">
        <v>836</v>
      </c>
      <c r="W1" s="139" t="s">
        <v>835</v>
      </c>
      <c r="X1" s="139" t="s">
        <v>869</v>
      </c>
    </row>
    <row r="2" spans="1:26" ht="1.2" customHeight="1">
      <c r="A2" s="143" t="s">
        <v>372</v>
      </c>
      <c r="B2" s="143"/>
      <c r="C2" s="144">
        <v>39606</v>
      </c>
      <c r="D2" s="144">
        <v>39613</v>
      </c>
      <c r="E2" s="143" t="s">
        <v>373</v>
      </c>
      <c r="F2" s="143"/>
      <c r="G2" s="145" t="s">
        <v>374</v>
      </c>
      <c r="H2" s="143"/>
      <c r="I2" s="143" t="s">
        <v>18</v>
      </c>
      <c r="J2" s="143" t="s">
        <v>51</v>
      </c>
      <c r="K2" s="143"/>
      <c r="L2" s="143" t="s">
        <v>375</v>
      </c>
      <c r="M2" s="143"/>
      <c r="N2" s="151" t="s">
        <v>376</v>
      </c>
      <c r="O2" s="148">
        <v>900</v>
      </c>
      <c r="P2" s="143"/>
      <c r="Q2" s="143"/>
      <c r="R2" s="145">
        <v>1</v>
      </c>
      <c r="S2" s="145">
        <v>2</v>
      </c>
      <c r="T2" s="145">
        <v>1</v>
      </c>
      <c r="U2" s="581">
        <v>225</v>
      </c>
      <c r="V2" s="143"/>
      <c r="W2" s="143"/>
      <c r="X2" s="143"/>
      <c r="Y2" s="143"/>
      <c r="Z2" s="143"/>
    </row>
    <row r="3" spans="1:26" ht="20.399999999999999">
      <c r="A3" s="143" t="s">
        <v>405</v>
      </c>
      <c r="B3" s="143" t="s">
        <v>406</v>
      </c>
      <c r="C3" s="144">
        <v>39620</v>
      </c>
      <c r="D3" s="144">
        <v>39627</v>
      </c>
      <c r="E3" s="143" t="s">
        <v>407</v>
      </c>
      <c r="F3" s="143"/>
      <c r="G3" s="145">
        <v>35435</v>
      </c>
      <c r="H3" s="143" t="s">
        <v>408</v>
      </c>
      <c r="I3" s="143" t="s">
        <v>18</v>
      </c>
      <c r="J3" s="143" t="s">
        <v>51</v>
      </c>
      <c r="K3" s="143"/>
      <c r="L3" s="152" t="s">
        <v>410</v>
      </c>
      <c r="M3" s="143"/>
      <c r="N3" s="151" t="s">
        <v>409</v>
      </c>
      <c r="O3" s="148">
        <v>1000</v>
      </c>
      <c r="P3" s="143"/>
      <c r="Q3" s="143"/>
      <c r="R3" s="145">
        <v>1</v>
      </c>
      <c r="S3" s="145">
        <v>3</v>
      </c>
      <c r="T3" s="145"/>
      <c r="U3" s="581">
        <v>250</v>
      </c>
      <c r="V3" s="143"/>
      <c r="W3" s="143"/>
      <c r="X3" s="143"/>
      <c r="Y3" s="143"/>
      <c r="Z3" s="143"/>
    </row>
    <row r="4" spans="1:26" hidden="1">
      <c r="A4" s="136"/>
      <c r="B4" s="136"/>
      <c r="C4" s="137"/>
      <c r="D4" s="137"/>
      <c r="E4" s="136"/>
      <c r="F4" s="136"/>
      <c r="G4" s="138"/>
      <c r="H4" s="136"/>
      <c r="I4" s="136"/>
      <c r="J4" s="136"/>
      <c r="K4" s="136"/>
      <c r="L4" s="136"/>
      <c r="M4" s="136"/>
      <c r="N4" s="136"/>
      <c r="O4" s="136"/>
      <c r="P4" s="136"/>
      <c r="S4" s="138"/>
      <c r="T4" s="138"/>
      <c r="U4" s="136"/>
    </row>
    <row r="5" spans="1:26" s="143" customFormat="1">
      <c r="A5" s="142" t="s">
        <v>395</v>
      </c>
      <c r="B5" s="143" t="s">
        <v>396</v>
      </c>
      <c r="C5" s="144">
        <v>39704</v>
      </c>
      <c r="D5" s="144">
        <v>39718</v>
      </c>
      <c r="E5" s="143" t="s">
        <v>397</v>
      </c>
      <c r="G5" s="145">
        <v>37269</v>
      </c>
      <c r="H5" s="143" t="s">
        <v>398</v>
      </c>
      <c r="I5" s="143" t="s">
        <v>18</v>
      </c>
      <c r="J5" s="143" t="s">
        <v>51</v>
      </c>
      <c r="K5" s="143" t="s">
        <v>399</v>
      </c>
      <c r="L5" s="143" t="s">
        <v>400</v>
      </c>
      <c r="N5" s="151" t="s">
        <v>401</v>
      </c>
      <c r="O5" s="148">
        <v>2270</v>
      </c>
      <c r="R5" s="145">
        <v>2</v>
      </c>
      <c r="S5" s="145">
        <v>2</v>
      </c>
      <c r="T5" s="145">
        <v>1</v>
      </c>
      <c r="U5" s="149">
        <v>550</v>
      </c>
    </row>
    <row r="6" spans="1:26" s="143" customFormat="1">
      <c r="A6" s="143" t="s">
        <v>444</v>
      </c>
      <c r="B6" s="143" t="s">
        <v>256</v>
      </c>
      <c r="C6" s="144">
        <v>39724</v>
      </c>
      <c r="D6" s="144">
        <v>39738</v>
      </c>
      <c r="G6" s="145"/>
      <c r="I6" s="143" t="s">
        <v>18</v>
      </c>
      <c r="J6" s="143" t="s">
        <v>19</v>
      </c>
      <c r="N6" s="147" t="s">
        <v>445</v>
      </c>
      <c r="O6" s="148">
        <v>1642</v>
      </c>
      <c r="R6" s="145">
        <v>2</v>
      </c>
      <c r="S6" s="145">
        <v>5</v>
      </c>
      <c r="T6" s="145">
        <v>1</v>
      </c>
      <c r="U6" s="149">
        <v>400</v>
      </c>
    </row>
    <row r="7" spans="1:26" s="143" customFormat="1" ht="13.2">
      <c r="A7" s="143" t="s">
        <v>515</v>
      </c>
      <c r="B7" s="143" t="s">
        <v>516</v>
      </c>
      <c r="C7" s="144">
        <v>39963</v>
      </c>
      <c r="D7" s="144">
        <v>39991</v>
      </c>
      <c r="G7" s="145"/>
      <c r="I7" s="143" t="s">
        <v>18</v>
      </c>
      <c r="J7" s="143" t="s">
        <v>19</v>
      </c>
      <c r="K7" s="175" t="s">
        <v>518</v>
      </c>
      <c r="L7" s="173"/>
      <c r="N7" s="147" t="s">
        <v>514</v>
      </c>
      <c r="O7" s="148">
        <v>2800</v>
      </c>
      <c r="Q7" s="143" t="s">
        <v>517</v>
      </c>
      <c r="R7" s="145">
        <v>3</v>
      </c>
      <c r="S7" s="145">
        <v>3</v>
      </c>
      <c r="T7" s="145"/>
      <c r="U7" s="174">
        <v>700</v>
      </c>
    </row>
    <row r="8" spans="1:26" s="143" customFormat="1">
      <c r="A8" s="143" t="s">
        <v>446</v>
      </c>
      <c r="B8" s="143" t="s">
        <v>447</v>
      </c>
      <c r="C8" s="144">
        <v>39970</v>
      </c>
      <c r="D8" s="144">
        <v>39977</v>
      </c>
      <c r="E8" s="143" t="s">
        <v>452</v>
      </c>
      <c r="G8" s="145">
        <v>76228</v>
      </c>
      <c r="H8" s="143" t="s">
        <v>451</v>
      </c>
      <c r="I8" s="143" t="s">
        <v>18</v>
      </c>
      <c r="J8" s="143" t="s">
        <v>51</v>
      </c>
      <c r="L8" s="173" t="s">
        <v>449</v>
      </c>
      <c r="N8" s="147" t="s">
        <v>448</v>
      </c>
      <c r="O8" s="148">
        <v>970</v>
      </c>
      <c r="Q8" s="143" t="s">
        <v>450</v>
      </c>
      <c r="R8" s="145">
        <v>1</v>
      </c>
      <c r="S8" s="145">
        <v>3</v>
      </c>
      <c r="T8" s="145">
        <v>1</v>
      </c>
      <c r="U8" s="174">
        <v>225</v>
      </c>
    </row>
    <row r="9" spans="1:26" s="143" customFormat="1">
      <c r="A9" s="142" t="s">
        <v>500</v>
      </c>
      <c r="B9" s="143" t="s">
        <v>501</v>
      </c>
      <c r="C9" s="144">
        <v>39991</v>
      </c>
      <c r="D9" s="144">
        <v>40005</v>
      </c>
      <c r="G9" s="145"/>
      <c r="I9" s="143" t="s">
        <v>18</v>
      </c>
      <c r="J9" s="143" t="s">
        <v>51</v>
      </c>
      <c r="L9" s="143" t="s">
        <v>533</v>
      </c>
      <c r="N9" s="147" t="s">
        <v>502</v>
      </c>
      <c r="O9" s="148">
        <v>2600</v>
      </c>
      <c r="Q9" s="143" t="s">
        <v>503</v>
      </c>
      <c r="R9" s="145">
        <v>2</v>
      </c>
      <c r="S9" s="145">
        <v>5</v>
      </c>
      <c r="T9" s="145"/>
      <c r="U9" s="174">
        <v>650</v>
      </c>
    </row>
    <row r="10" spans="1:26" s="143" customFormat="1" ht="24.6" customHeight="1">
      <c r="A10" s="176" t="s">
        <v>493</v>
      </c>
      <c r="B10" s="177" t="s">
        <v>494</v>
      </c>
      <c r="C10" s="178">
        <v>40012</v>
      </c>
      <c r="D10" s="178">
        <v>40026</v>
      </c>
      <c r="E10" s="177" t="s">
        <v>496</v>
      </c>
      <c r="F10" s="177"/>
      <c r="G10" s="179">
        <v>26831</v>
      </c>
      <c r="H10" s="177" t="s">
        <v>497</v>
      </c>
      <c r="I10" s="177" t="s">
        <v>18</v>
      </c>
      <c r="J10" s="177" t="s">
        <v>51</v>
      </c>
      <c r="K10" s="177" t="s">
        <v>498</v>
      </c>
      <c r="L10" s="180"/>
      <c r="M10" s="177"/>
      <c r="N10" s="181" t="s">
        <v>495</v>
      </c>
      <c r="O10" s="182">
        <v>750</v>
      </c>
      <c r="P10" s="177"/>
      <c r="Q10" s="177" t="s">
        <v>499</v>
      </c>
      <c r="R10" s="179">
        <v>0</v>
      </c>
      <c r="S10" s="179">
        <v>8</v>
      </c>
      <c r="T10" s="179"/>
      <c r="U10" s="174">
        <v>750</v>
      </c>
      <c r="V10" s="177"/>
      <c r="W10" s="177"/>
      <c r="X10" s="177"/>
      <c r="Y10" s="177"/>
      <c r="Z10" s="177"/>
    </row>
    <row r="11" spans="1:26" s="143" customFormat="1">
      <c r="A11" s="142" t="s">
        <v>548</v>
      </c>
      <c r="B11" s="143" t="s">
        <v>549</v>
      </c>
      <c r="C11" s="144">
        <v>40012</v>
      </c>
      <c r="D11" s="144">
        <v>40026</v>
      </c>
      <c r="E11" s="143" t="s">
        <v>550</v>
      </c>
      <c r="G11" s="145">
        <v>60431</v>
      </c>
      <c r="H11" s="143" t="s">
        <v>551</v>
      </c>
      <c r="I11" s="143" t="s">
        <v>18</v>
      </c>
      <c r="J11" s="143" t="s">
        <v>51</v>
      </c>
      <c r="K11" s="143" t="s">
        <v>552</v>
      </c>
      <c r="L11" s="143" t="s">
        <v>553</v>
      </c>
      <c r="N11" s="147" t="s">
        <v>554</v>
      </c>
      <c r="O11" s="148">
        <v>2645</v>
      </c>
      <c r="Q11" s="143" t="s">
        <v>534</v>
      </c>
      <c r="R11" s="145">
        <v>2</v>
      </c>
      <c r="S11" s="145">
        <v>5</v>
      </c>
      <c r="T11" s="145"/>
      <c r="U11" s="174">
        <v>645</v>
      </c>
    </row>
    <row r="12" spans="1:26" s="143" customFormat="1">
      <c r="A12" s="142" t="s">
        <v>477</v>
      </c>
      <c r="B12" s="143" t="s">
        <v>484</v>
      </c>
      <c r="C12" s="144">
        <v>40026</v>
      </c>
      <c r="D12" s="144">
        <v>40040</v>
      </c>
      <c r="E12" s="143" t="s">
        <v>478</v>
      </c>
      <c r="G12" s="145">
        <v>81245</v>
      </c>
      <c r="H12" s="143" t="s">
        <v>479</v>
      </c>
      <c r="I12" s="143" t="s">
        <v>18</v>
      </c>
      <c r="J12" s="143" t="s">
        <v>19</v>
      </c>
      <c r="K12" s="143" t="s">
        <v>481</v>
      </c>
      <c r="L12" s="173" t="s">
        <v>480</v>
      </c>
      <c r="N12" s="147" t="s">
        <v>482</v>
      </c>
      <c r="O12" s="148">
        <v>3070</v>
      </c>
      <c r="Q12" s="143" t="s">
        <v>483</v>
      </c>
      <c r="R12" s="145">
        <v>2</v>
      </c>
      <c r="S12" s="145">
        <v>6</v>
      </c>
      <c r="T12" s="145"/>
      <c r="U12" s="174">
        <v>750</v>
      </c>
    </row>
    <row r="13" spans="1:26" s="143" customFormat="1">
      <c r="A13" s="143" t="s">
        <v>555</v>
      </c>
      <c r="B13" s="143" t="s">
        <v>556</v>
      </c>
      <c r="C13" s="144">
        <v>40054</v>
      </c>
      <c r="D13" s="144">
        <v>40061</v>
      </c>
      <c r="E13" s="143" t="s">
        <v>557</v>
      </c>
      <c r="G13" s="145">
        <v>30171</v>
      </c>
      <c r="H13" s="143" t="s">
        <v>558</v>
      </c>
      <c r="I13" s="143" t="s">
        <v>18</v>
      </c>
      <c r="J13" s="143" t="s">
        <v>51</v>
      </c>
      <c r="L13" s="173" t="s">
        <v>559</v>
      </c>
      <c r="N13" s="147" t="s">
        <v>469</v>
      </c>
      <c r="O13" s="148">
        <v>1000</v>
      </c>
      <c r="Q13" s="143">
        <v>2</v>
      </c>
      <c r="R13" s="145">
        <v>1</v>
      </c>
      <c r="S13" s="145">
        <v>2</v>
      </c>
      <c r="T13" s="145"/>
      <c r="U13" s="174">
        <v>250</v>
      </c>
    </row>
    <row r="14" spans="1:26" s="143" customFormat="1">
      <c r="A14" s="142" t="s">
        <v>527</v>
      </c>
      <c r="B14" s="143" t="s">
        <v>528</v>
      </c>
      <c r="C14" s="144">
        <v>40061</v>
      </c>
      <c r="D14" s="144">
        <v>40068</v>
      </c>
      <c r="E14" s="143" t="s">
        <v>529</v>
      </c>
      <c r="G14" s="145">
        <v>54595</v>
      </c>
      <c r="H14" s="143" t="s">
        <v>530</v>
      </c>
      <c r="I14" s="143" t="s">
        <v>18</v>
      </c>
      <c r="J14" s="143" t="s">
        <v>19</v>
      </c>
      <c r="L14" s="173" t="s">
        <v>531</v>
      </c>
      <c r="N14" s="147" t="s">
        <v>532</v>
      </c>
      <c r="O14" s="148">
        <f>1100+42+70</f>
        <v>1212</v>
      </c>
      <c r="Q14" s="143">
        <v>4</v>
      </c>
      <c r="R14" s="145">
        <v>1</v>
      </c>
      <c r="S14" s="145">
        <v>4</v>
      </c>
      <c r="T14" s="145">
        <v>2</v>
      </c>
      <c r="U14" s="174">
        <v>275</v>
      </c>
    </row>
    <row r="15" spans="1:26" s="143" customFormat="1">
      <c r="A15" s="143" t="s">
        <v>510</v>
      </c>
      <c r="B15" s="143" t="s">
        <v>511</v>
      </c>
      <c r="C15" s="144">
        <v>40069</v>
      </c>
      <c r="D15" s="144">
        <v>40083</v>
      </c>
      <c r="G15" s="145"/>
      <c r="I15" s="143" t="s">
        <v>18</v>
      </c>
      <c r="J15" s="143" t="s">
        <v>51</v>
      </c>
      <c r="L15" s="173"/>
      <c r="N15" s="147" t="s">
        <v>513</v>
      </c>
      <c r="O15" s="148">
        <v>2112</v>
      </c>
      <c r="Q15" s="143" t="s">
        <v>512</v>
      </c>
      <c r="R15" s="145">
        <v>2</v>
      </c>
      <c r="S15" s="145">
        <v>2</v>
      </c>
      <c r="T15" s="145">
        <v>1</v>
      </c>
      <c r="U15" s="174">
        <v>500</v>
      </c>
    </row>
    <row r="16" spans="1:26" s="143" customFormat="1">
      <c r="A16" s="142" t="s">
        <v>560</v>
      </c>
      <c r="B16" s="143" t="s">
        <v>561</v>
      </c>
      <c r="C16" s="144">
        <v>40096</v>
      </c>
      <c r="D16" s="144">
        <v>40110</v>
      </c>
      <c r="E16" s="143" t="s">
        <v>562</v>
      </c>
      <c r="G16" s="145">
        <v>41466</v>
      </c>
      <c r="H16" s="143" t="s">
        <v>187</v>
      </c>
      <c r="I16" s="143" t="s">
        <v>18</v>
      </c>
      <c r="J16" s="143" t="s">
        <v>51</v>
      </c>
      <c r="K16" s="143" t="s">
        <v>563</v>
      </c>
      <c r="L16" s="173"/>
      <c r="N16" s="147" t="s">
        <v>565</v>
      </c>
      <c r="O16" s="148">
        <v>1580</v>
      </c>
      <c r="Q16" s="143" t="s">
        <v>564</v>
      </c>
      <c r="R16" s="145">
        <v>2</v>
      </c>
      <c r="S16" s="145">
        <v>5</v>
      </c>
      <c r="T16" s="145">
        <v>1</v>
      </c>
      <c r="U16" s="174">
        <f>1580/4</f>
        <v>395</v>
      </c>
    </row>
    <row r="17" spans="1:26" s="143" customFormat="1">
      <c r="A17" s="142" t="s">
        <v>613</v>
      </c>
      <c r="B17" s="143" t="s">
        <v>614</v>
      </c>
      <c r="C17" s="144">
        <v>40264</v>
      </c>
      <c r="D17" s="144">
        <v>40271</v>
      </c>
      <c r="E17" s="143" t="s">
        <v>616</v>
      </c>
      <c r="G17" s="145" t="s">
        <v>618</v>
      </c>
      <c r="H17" s="143" t="s">
        <v>617</v>
      </c>
      <c r="I17" s="143" t="s">
        <v>18</v>
      </c>
      <c r="J17" s="143" t="s">
        <v>51</v>
      </c>
      <c r="K17" s="143" t="s">
        <v>619</v>
      </c>
      <c r="L17" s="173"/>
      <c r="N17" s="147" t="s">
        <v>615</v>
      </c>
      <c r="O17" s="148">
        <f>800+70+21</f>
        <v>891</v>
      </c>
      <c r="Q17" s="143" t="s">
        <v>600</v>
      </c>
      <c r="R17" s="145">
        <v>1</v>
      </c>
      <c r="S17" s="145">
        <v>4</v>
      </c>
      <c r="T17" s="145">
        <v>1</v>
      </c>
      <c r="U17" s="202">
        <f>200</f>
        <v>200</v>
      </c>
    </row>
    <row r="18" spans="1:26" s="143" customFormat="1">
      <c r="A18" s="142" t="s">
        <v>595</v>
      </c>
      <c r="B18" s="143" t="s">
        <v>596</v>
      </c>
      <c r="C18" s="144">
        <v>40306</v>
      </c>
      <c r="D18" s="144">
        <v>40320</v>
      </c>
      <c r="G18" s="145"/>
      <c r="I18" s="143" t="s">
        <v>18</v>
      </c>
      <c r="J18" s="143" t="s">
        <v>51</v>
      </c>
      <c r="K18" s="143" t="s">
        <v>597</v>
      </c>
      <c r="L18" s="173"/>
      <c r="N18" s="151" t="s">
        <v>598</v>
      </c>
      <c r="O18" s="148">
        <f>1580+70+84</f>
        <v>1734</v>
      </c>
      <c r="Q18" s="143" t="s">
        <v>599</v>
      </c>
      <c r="R18" s="145">
        <v>2</v>
      </c>
      <c r="S18" s="145">
        <v>3</v>
      </c>
      <c r="T18" s="145">
        <v>2</v>
      </c>
      <c r="U18" s="203">
        <v>395</v>
      </c>
    </row>
    <row r="19" spans="1:26" s="143" customFormat="1">
      <c r="A19" s="142" t="s">
        <v>644</v>
      </c>
      <c r="B19" s="143" t="s">
        <v>396</v>
      </c>
      <c r="C19" s="144">
        <v>40334</v>
      </c>
      <c r="D19" s="144">
        <v>40348</v>
      </c>
      <c r="E19" s="143" t="s">
        <v>645</v>
      </c>
      <c r="G19" s="145" t="s">
        <v>646</v>
      </c>
      <c r="H19" s="143" t="s">
        <v>647</v>
      </c>
      <c r="I19" s="143" t="s">
        <v>18</v>
      </c>
      <c r="J19" s="143" t="s">
        <v>51</v>
      </c>
      <c r="K19" s="143" t="s">
        <v>648</v>
      </c>
      <c r="L19" s="143" t="s">
        <v>649</v>
      </c>
      <c r="N19" s="151"/>
      <c r="O19" s="204">
        <f>1700+70+60</f>
        <v>1830</v>
      </c>
      <c r="Q19" s="173" t="s">
        <v>599</v>
      </c>
      <c r="R19" s="145">
        <v>2</v>
      </c>
      <c r="S19" s="145">
        <v>2</v>
      </c>
      <c r="T19" s="145"/>
      <c r="U19" s="205">
        <v>425</v>
      </c>
    </row>
    <row r="20" spans="1:26" ht="10.8" thickBot="1">
      <c r="A20" s="142" t="s">
        <v>651</v>
      </c>
      <c r="B20" s="143" t="s">
        <v>652</v>
      </c>
      <c r="C20" s="144">
        <v>40348</v>
      </c>
      <c r="D20" s="144">
        <v>40355</v>
      </c>
      <c r="E20" s="143" t="s">
        <v>653</v>
      </c>
      <c r="F20" s="143"/>
      <c r="G20" s="145" t="s">
        <v>654</v>
      </c>
      <c r="H20" s="143" t="s">
        <v>655</v>
      </c>
      <c r="I20" s="143" t="s">
        <v>18</v>
      </c>
      <c r="J20" s="143" t="s">
        <v>19</v>
      </c>
      <c r="K20" s="143"/>
      <c r="L20" s="143" t="s">
        <v>656</v>
      </c>
      <c r="M20" s="143"/>
      <c r="N20" s="147" t="s">
        <v>657</v>
      </c>
      <c r="O20" s="204">
        <f>950+70</f>
        <v>1020</v>
      </c>
      <c r="P20" s="143"/>
      <c r="Q20" s="173"/>
      <c r="R20" s="145">
        <v>1</v>
      </c>
      <c r="S20" s="145">
        <v>4</v>
      </c>
      <c r="T20" s="145" t="s">
        <v>658</v>
      </c>
      <c r="U20" s="205">
        <v>237.5</v>
      </c>
      <c r="V20" s="143"/>
      <c r="W20" s="143"/>
      <c r="X20" s="143"/>
      <c r="Y20" s="143"/>
      <c r="Z20" s="143"/>
    </row>
    <row r="21" spans="1:26" ht="10.8" thickBot="1">
      <c r="A21" s="167" t="s">
        <v>581</v>
      </c>
      <c r="B21" s="534" t="s">
        <v>582</v>
      </c>
      <c r="C21" s="144">
        <v>40404</v>
      </c>
      <c r="D21" s="144">
        <v>40418</v>
      </c>
      <c r="E21" s="143"/>
      <c r="F21" s="143"/>
      <c r="G21" s="145"/>
      <c r="H21" s="143"/>
      <c r="I21" s="143" t="s">
        <v>18</v>
      </c>
      <c r="J21" s="143" t="s">
        <v>51</v>
      </c>
      <c r="K21" s="143" t="s">
        <v>583</v>
      </c>
      <c r="L21" s="173"/>
      <c r="M21" s="143"/>
      <c r="N21" s="147" t="s">
        <v>620</v>
      </c>
      <c r="O21" s="148">
        <v>3044</v>
      </c>
      <c r="P21" s="143"/>
      <c r="Q21" s="143" t="s">
        <v>584</v>
      </c>
      <c r="R21" s="145">
        <v>2</v>
      </c>
      <c r="S21" s="145">
        <v>4</v>
      </c>
      <c r="T21" s="145">
        <v>2</v>
      </c>
      <c r="U21" s="202">
        <f>O21/4</f>
        <v>761</v>
      </c>
      <c r="V21" s="143"/>
      <c r="W21" s="143"/>
      <c r="X21" s="143"/>
      <c r="Y21" s="143"/>
      <c r="Z21" s="143"/>
    </row>
    <row r="22" spans="1:26" ht="10.8" thickBot="1">
      <c r="A22" s="207" t="s">
        <v>660</v>
      </c>
      <c r="B22" s="529" t="s">
        <v>661</v>
      </c>
      <c r="C22" s="546">
        <v>40418</v>
      </c>
      <c r="D22" s="144">
        <v>40432</v>
      </c>
      <c r="E22" s="143" t="s">
        <v>662</v>
      </c>
      <c r="F22" s="143"/>
      <c r="G22" s="145" t="s">
        <v>664</v>
      </c>
      <c r="H22" s="143" t="s">
        <v>663</v>
      </c>
      <c r="I22" s="143" t="s">
        <v>18</v>
      </c>
      <c r="J22" s="143" t="s">
        <v>51</v>
      </c>
      <c r="K22" s="206" t="s">
        <v>666</v>
      </c>
      <c r="L22" s="173"/>
      <c r="M22" s="143"/>
      <c r="N22" s="147" t="s">
        <v>665</v>
      </c>
      <c r="O22" s="148">
        <f>545*4+42+70</f>
        <v>2292</v>
      </c>
      <c r="P22" s="143"/>
      <c r="Q22" s="143" t="s">
        <v>659</v>
      </c>
      <c r="R22" s="145">
        <v>2</v>
      </c>
      <c r="S22" s="145">
        <v>4</v>
      </c>
      <c r="T22" s="145">
        <v>1</v>
      </c>
      <c r="U22" s="674">
        <v>545</v>
      </c>
      <c r="V22" s="143"/>
      <c r="W22" s="143"/>
      <c r="X22" s="143"/>
      <c r="Y22" s="143"/>
      <c r="Z22" s="143"/>
    </row>
    <row r="23" spans="1:26" ht="10.8" thickBot="1">
      <c r="A23" s="143" t="s">
        <v>602</v>
      </c>
      <c r="B23" s="143" t="s">
        <v>603</v>
      </c>
      <c r="C23" s="144">
        <v>40432</v>
      </c>
      <c r="D23" s="144">
        <v>40446</v>
      </c>
      <c r="E23" s="143"/>
      <c r="F23" s="143"/>
      <c r="G23" s="145"/>
      <c r="H23" s="143"/>
      <c r="I23" s="143" t="s">
        <v>18</v>
      </c>
      <c r="J23" s="143" t="s">
        <v>51</v>
      </c>
      <c r="K23" s="143" t="s">
        <v>605</v>
      </c>
      <c r="L23" s="143" t="s">
        <v>606</v>
      </c>
      <c r="M23" s="143"/>
      <c r="N23" s="580" t="s">
        <v>607</v>
      </c>
      <c r="O23" s="204">
        <f>2400+70+2*3*14</f>
        <v>2554</v>
      </c>
      <c r="P23" s="143"/>
      <c r="Q23" s="143" t="s">
        <v>604</v>
      </c>
      <c r="R23" s="145">
        <v>2</v>
      </c>
      <c r="S23" s="145">
        <v>2</v>
      </c>
      <c r="T23" s="145">
        <v>2</v>
      </c>
      <c r="U23" s="671">
        <f>2400/4</f>
        <v>600</v>
      </c>
      <c r="V23" s="143"/>
      <c r="W23" s="143"/>
      <c r="X23" s="143"/>
      <c r="Y23" s="143"/>
      <c r="Z23" s="143"/>
    </row>
    <row r="24" spans="1:26" ht="10.8" thickBot="1">
      <c r="A24" s="508" t="s">
        <v>668</v>
      </c>
      <c r="B24" s="531" t="s">
        <v>256</v>
      </c>
      <c r="C24" s="144">
        <v>40542</v>
      </c>
      <c r="D24" s="144">
        <v>40551</v>
      </c>
      <c r="E24" s="143" t="s">
        <v>669</v>
      </c>
      <c r="F24" s="143"/>
      <c r="G24" s="145" t="s">
        <v>670</v>
      </c>
      <c r="H24" s="143" t="s">
        <v>671</v>
      </c>
      <c r="I24" s="143" t="s">
        <v>18</v>
      </c>
      <c r="J24" s="143" t="s">
        <v>51</v>
      </c>
      <c r="K24" s="143"/>
      <c r="L24" s="143" t="s">
        <v>672</v>
      </c>
      <c r="M24" s="143"/>
      <c r="N24" s="580" t="s">
        <v>673</v>
      </c>
      <c r="O24" s="581">
        <v>1050</v>
      </c>
      <c r="P24" s="143"/>
      <c r="Q24" s="143" t="s">
        <v>674</v>
      </c>
      <c r="R24" s="145">
        <v>1</v>
      </c>
      <c r="S24" s="145">
        <v>4</v>
      </c>
      <c r="T24" s="145">
        <v>0</v>
      </c>
      <c r="U24" s="581">
        <v>300</v>
      </c>
      <c r="V24" s="143"/>
      <c r="W24" s="143"/>
      <c r="X24" s="143"/>
      <c r="Y24" s="143"/>
      <c r="Z24" s="143"/>
    </row>
    <row r="25" spans="1:26">
      <c r="A25" s="219" t="s">
        <v>709</v>
      </c>
      <c r="B25" s="219" t="s">
        <v>710</v>
      </c>
      <c r="C25" s="220">
        <v>40635</v>
      </c>
      <c r="D25" s="220">
        <v>40642</v>
      </c>
      <c r="E25" s="219" t="s">
        <v>715</v>
      </c>
      <c r="F25" s="219"/>
      <c r="G25" s="221" t="s">
        <v>716</v>
      </c>
      <c r="H25" s="219" t="s">
        <v>714</v>
      </c>
      <c r="I25" s="219" t="s">
        <v>18</v>
      </c>
      <c r="J25" s="219" t="s">
        <v>51</v>
      </c>
      <c r="K25" s="219" t="s">
        <v>713</v>
      </c>
      <c r="L25" s="219" t="s">
        <v>712</v>
      </c>
      <c r="M25" s="219"/>
      <c r="N25" s="222" t="s">
        <v>711</v>
      </c>
      <c r="O25" s="223">
        <f>690+70+42</f>
        <v>802</v>
      </c>
      <c r="P25" s="219"/>
      <c r="Q25" s="219" t="s">
        <v>717</v>
      </c>
      <c r="R25" s="221">
        <v>1</v>
      </c>
      <c r="S25" s="221">
        <v>2</v>
      </c>
      <c r="T25" s="221">
        <v>2</v>
      </c>
      <c r="U25" s="597">
        <v>200</v>
      </c>
      <c r="V25" s="219"/>
      <c r="W25" s="219"/>
      <c r="X25" s="219"/>
      <c r="Y25" s="219"/>
      <c r="Z25" s="219"/>
    </row>
    <row r="26" spans="1:26">
      <c r="A26" s="225" t="s">
        <v>681</v>
      </c>
      <c r="B26" s="225" t="s">
        <v>682</v>
      </c>
      <c r="C26" s="226">
        <v>40705</v>
      </c>
      <c r="D26" s="226">
        <v>40719</v>
      </c>
      <c r="E26" s="225" t="s">
        <v>678</v>
      </c>
      <c r="F26" s="225"/>
      <c r="G26" s="227" t="s">
        <v>680</v>
      </c>
      <c r="H26" s="225" t="s">
        <v>679</v>
      </c>
      <c r="I26" s="225" t="s">
        <v>18</v>
      </c>
      <c r="J26" s="225" t="s">
        <v>51</v>
      </c>
      <c r="K26" s="225"/>
      <c r="L26" s="225" t="s">
        <v>684</v>
      </c>
      <c r="M26" s="225"/>
      <c r="N26" s="228" t="s">
        <v>683</v>
      </c>
      <c r="O26" s="229">
        <v>570</v>
      </c>
      <c r="P26" s="225"/>
      <c r="Q26" s="225" t="s">
        <v>752</v>
      </c>
      <c r="R26" s="227">
        <v>0</v>
      </c>
      <c r="S26" s="227">
        <v>6</v>
      </c>
      <c r="T26" s="227">
        <v>2</v>
      </c>
      <c r="U26" s="675">
        <v>570</v>
      </c>
      <c r="V26" s="225"/>
      <c r="W26" s="225"/>
      <c r="X26" s="225"/>
      <c r="Y26" s="225"/>
      <c r="Z26" s="225"/>
    </row>
    <row r="27" spans="1:26">
      <c r="A27" s="219" t="s">
        <v>755</v>
      </c>
      <c r="B27" s="219" t="s">
        <v>756</v>
      </c>
      <c r="C27" s="220">
        <v>40705</v>
      </c>
      <c r="D27" s="220">
        <v>40719</v>
      </c>
      <c r="E27" s="219" t="s">
        <v>757</v>
      </c>
      <c r="F27" s="219"/>
      <c r="G27" s="221" t="s">
        <v>758</v>
      </c>
      <c r="H27" s="219" t="s">
        <v>759</v>
      </c>
      <c r="I27" s="219" t="s">
        <v>18</v>
      </c>
      <c r="J27" s="219" t="s">
        <v>51</v>
      </c>
      <c r="K27" s="219" t="s">
        <v>761</v>
      </c>
      <c r="L27" s="219"/>
      <c r="M27" s="219"/>
      <c r="N27" s="222" t="s">
        <v>760</v>
      </c>
      <c r="O27" s="223">
        <f>1434+70</f>
        <v>1504</v>
      </c>
      <c r="P27" s="219"/>
      <c r="Q27" s="219" t="s">
        <v>762</v>
      </c>
      <c r="R27" s="221">
        <v>1</v>
      </c>
      <c r="S27" s="221">
        <v>4</v>
      </c>
      <c r="T27" s="221">
        <v>0</v>
      </c>
      <c r="U27" s="607">
        <v>358.5</v>
      </c>
      <c r="V27" s="219"/>
      <c r="W27" s="219"/>
      <c r="X27" s="219"/>
      <c r="Y27" s="219"/>
      <c r="Z27" s="219"/>
    </row>
    <row r="28" spans="1:26">
      <c r="A28" s="143" t="s">
        <v>718</v>
      </c>
      <c r="B28" s="143" t="s">
        <v>328</v>
      </c>
      <c r="C28" s="144">
        <v>40789</v>
      </c>
      <c r="D28" s="144">
        <v>40803</v>
      </c>
      <c r="E28" s="143" t="s">
        <v>719</v>
      </c>
      <c r="F28" s="143"/>
      <c r="G28" s="145">
        <v>40213</v>
      </c>
      <c r="H28" s="143" t="s">
        <v>720</v>
      </c>
      <c r="I28" s="143" t="s">
        <v>18</v>
      </c>
      <c r="J28" s="143" t="s">
        <v>51</v>
      </c>
      <c r="K28" s="143" t="s">
        <v>763</v>
      </c>
      <c r="L28" s="143"/>
      <c r="M28" s="143"/>
      <c r="N28" s="147" t="s">
        <v>721</v>
      </c>
      <c r="O28" s="148">
        <f>2480+70</f>
        <v>2550</v>
      </c>
      <c r="P28" s="143"/>
      <c r="Q28" s="143" t="s">
        <v>199</v>
      </c>
      <c r="R28" s="145">
        <v>2</v>
      </c>
      <c r="S28" s="145">
        <v>2</v>
      </c>
      <c r="T28" s="145">
        <v>2</v>
      </c>
      <c r="U28" s="581">
        <v>620</v>
      </c>
      <c r="V28" s="143"/>
      <c r="W28" s="143"/>
      <c r="X28" s="143"/>
      <c r="Y28" s="143"/>
      <c r="Z28" s="143"/>
    </row>
    <row r="29" spans="1:26" s="165" customFormat="1" ht="10.8" thickBot="1">
      <c r="A29" s="208" t="s">
        <v>765</v>
      </c>
      <c r="B29" s="208" t="s">
        <v>511</v>
      </c>
      <c r="C29" s="209">
        <v>40803</v>
      </c>
      <c r="D29" s="209">
        <v>40817</v>
      </c>
      <c r="E29" s="208"/>
      <c r="F29" s="208"/>
      <c r="G29" s="210"/>
      <c r="H29" s="208"/>
      <c r="I29" s="208" t="s">
        <v>18</v>
      </c>
      <c r="J29" s="208" t="s">
        <v>51</v>
      </c>
      <c r="K29" s="208"/>
      <c r="L29" s="208"/>
      <c r="M29" s="208"/>
      <c r="N29" s="211" t="s">
        <v>764</v>
      </c>
      <c r="O29" s="212">
        <f>990+1090+70</f>
        <v>2150</v>
      </c>
      <c r="P29" s="208"/>
      <c r="Q29" s="208" t="s">
        <v>199</v>
      </c>
      <c r="R29" s="210">
        <v>2</v>
      </c>
      <c r="S29" s="210">
        <v>2</v>
      </c>
      <c r="T29" s="210">
        <v>0</v>
      </c>
      <c r="U29" s="212">
        <f>O29/4</f>
        <v>537.5</v>
      </c>
      <c r="V29" s="208"/>
      <c r="W29" s="208"/>
      <c r="X29" s="208"/>
      <c r="Y29" s="208"/>
      <c r="Z29" s="208"/>
    </row>
    <row r="30" spans="1:26">
      <c r="A30" s="143" t="s">
        <v>810</v>
      </c>
      <c r="B30" s="143" t="s">
        <v>24</v>
      </c>
      <c r="C30" s="144">
        <v>40902</v>
      </c>
      <c r="D30" s="144">
        <v>40909</v>
      </c>
      <c r="E30" s="143"/>
      <c r="F30" s="143"/>
      <c r="G30" s="145"/>
      <c r="H30" s="143" t="s">
        <v>814</v>
      </c>
      <c r="I30" s="143" t="s">
        <v>18</v>
      </c>
      <c r="J30" s="143" t="s">
        <v>51</v>
      </c>
      <c r="K30" s="143" t="s">
        <v>811</v>
      </c>
      <c r="L30" s="143" t="s">
        <v>812</v>
      </c>
      <c r="M30" s="143"/>
      <c r="N30" s="147" t="s">
        <v>815</v>
      </c>
      <c r="O30" s="148">
        <f>1050+42+70</f>
        <v>1162</v>
      </c>
      <c r="P30" s="143"/>
      <c r="Q30" s="143" t="s">
        <v>813</v>
      </c>
      <c r="R30" s="145">
        <v>1</v>
      </c>
      <c r="S30" s="145">
        <v>2</v>
      </c>
      <c r="T30" s="145">
        <v>2</v>
      </c>
      <c r="U30" s="581">
        <v>290.5</v>
      </c>
      <c r="V30" s="143"/>
      <c r="W30" s="143"/>
      <c r="X30" s="143"/>
      <c r="Y30" s="143"/>
      <c r="Z30" s="143"/>
    </row>
    <row r="31" spans="1:26" ht="10.8" thickBot="1">
      <c r="A31" s="143" t="s">
        <v>876</v>
      </c>
      <c r="B31" s="143" t="s">
        <v>875</v>
      </c>
      <c r="C31" s="144">
        <v>40992</v>
      </c>
      <c r="D31" s="144">
        <v>41008</v>
      </c>
      <c r="E31" s="143" t="s">
        <v>877</v>
      </c>
      <c r="F31" s="143"/>
      <c r="G31" s="145" t="s">
        <v>878</v>
      </c>
      <c r="H31" s="143" t="s">
        <v>879</v>
      </c>
      <c r="I31" s="143" t="s">
        <v>18</v>
      </c>
      <c r="J31" s="143" t="s">
        <v>51</v>
      </c>
      <c r="K31" s="143" t="s">
        <v>929</v>
      </c>
      <c r="L31" s="143" t="s">
        <v>880</v>
      </c>
      <c r="M31" s="143"/>
      <c r="N31" s="147" t="s">
        <v>881</v>
      </c>
      <c r="O31" s="148">
        <f>690*2+200+70</f>
        <v>1650</v>
      </c>
      <c r="P31" s="143"/>
      <c r="Q31" s="143" t="s">
        <v>883</v>
      </c>
      <c r="R31" s="145">
        <v>2</v>
      </c>
      <c r="S31" s="145">
        <v>4</v>
      </c>
      <c r="T31" s="145"/>
      <c r="U31" s="586">
        <f>O31/4</f>
        <v>412.5</v>
      </c>
      <c r="V31" s="238">
        <v>40970</v>
      </c>
      <c r="W31" s="143"/>
      <c r="X31" s="143"/>
      <c r="Y31" s="143"/>
      <c r="Z31" s="143"/>
    </row>
    <row r="32" spans="1:26" s="143" customFormat="1">
      <c r="A32" s="167" t="s">
        <v>785</v>
      </c>
      <c r="B32" s="168" t="s">
        <v>830</v>
      </c>
      <c r="C32" s="169">
        <v>41062</v>
      </c>
      <c r="D32" s="169">
        <v>41083</v>
      </c>
      <c r="E32" s="168"/>
      <c r="F32" s="168"/>
      <c r="G32" s="170" t="s">
        <v>787</v>
      </c>
      <c r="H32" s="168" t="s">
        <v>788</v>
      </c>
      <c r="I32" s="168" t="s">
        <v>18</v>
      </c>
      <c r="J32" s="168" t="s">
        <v>51</v>
      </c>
      <c r="K32" s="168" t="s">
        <v>789</v>
      </c>
      <c r="L32" s="168" t="s">
        <v>790</v>
      </c>
      <c r="M32" s="168"/>
      <c r="N32" s="171" t="s">
        <v>786</v>
      </c>
      <c r="O32" s="172">
        <f>890+1090+1190+3*2*21</f>
        <v>3296</v>
      </c>
      <c r="P32" s="168"/>
      <c r="Q32" s="168" t="s">
        <v>791</v>
      </c>
      <c r="R32" s="170">
        <v>3</v>
      </c>
      <c r="S32" s="170">
        <v>3</v>
      </c>
      <c r="T32" s="170">
        <v>2</v>
      </c>
      <c r="U32" s="602">
        <v>792.5</v>
      </c>
      <c r="W32" s="143" t="s">
        <v>791</v>
      </c>
    </row>
    <row r="33" spans="1:26" s="143" customFormat="1">
      <c r="A33" s="142" t="s">
        <v>867</v>
      </c>
      <c r="B33" s="143" t="s">
        <v>431</v>
      </c>
      <c r="C33" s="144">
        <v>41083</v>
      </c>
      <c r="D33" s="144">
        <v>41097</v>
      </c>
      <c r="G33" s="145"/>
      <c r="H33" s="143" t="s">
        <v>868</v>
      </c>
      <c r="I33" s="143" t="s">
        <v>18</v>
      </c>
      <c r="J33" s="143" t="s">
        <v>51</v>
      </c>
      <c r="L33" s="143" t="s">
        <v>945</v>
      </c>
      <c r="N33" s="147" t="s">
        <v>866</v>
      </c>
      <c r="O33" s="148">
        <f>2240</f>
        <v>2240</v>
      </c>
      <c r="Q33" s="143" t="s">
        <v>791</v>
      </c>
      <c r="R33" s="145">
        <v>2</v>
      </c>
      <c r="S33" s="145">
        <v>4</v>
      </c>
      <c r="T33" s="145"/>
      <c r="U33" s="236">
        <f>560</f>
        <v>560</v>
      </c>
      <c r="W33" s="143" t="s">
        <v>791</v>
      </c>
      <c r="X33" s="143" t="s">
        <v>870</v>
      </c>
    </row>
    <row r="34" spans="1:26" s="143" customFormat="1">
      <c r="A34" s="142" t="s">
        <v>934</v>
      </c>
      <c r="B34" s="143" t="s">
        <v>935</v>
      </c>
      <c r="C34" s="144">
        <v>41118</v>
      </c>
      <c r="D34" s="144">
        <v>41139</v>
      </c>
      <c r="E34" s="143" t="s">
        <v>936</v>
      </c>
      <c r="G34" s="145">
        <v>45359</v>
      </c>
      <c r="H34" s="143" t="s">
        <v>937</v>
      </c>
      <c r="I34" s="143" t="s">
        <v>18</v>
      </c>
      <c r="J34" s="143" t="s">
        <v>51</v>
      </c>
      <c r="K34" s="143" t="s">
        <v>938</v>
      </c>
      <c r="L34" s="143" t="s">
        <v>939</v>
      </c>
      <c r="N34" s="580" t="s">
        <v>940</v>
      </c>
      <c r="O34" s="581">
        <v>5670</v>
      </c>
      <c r="Q34" s="143" t="s">
        <v>941</v>
      </c>
      <c r="R34" s="145">
        <v>3</v>
      </c>
      <c r="S34" s="145">
        <v>4</v>
      </c>
      <c r="T34" s="145">
        <v>1</v>
      </c>
      <c r="U34" s="239">
        <v>1417.5</v>
      </c>
      <c r="V34" s="240">
        <v>41060</v>
      </c>
    </row>
    <row r="35" spans="1:26" s="143" customFormat="1" ht="13.8">
      <c r="A35" s="142" t="s">
        <v>858</v>
      </c>
      <c r="B35" s="143" t="s">
        <v>857</v>
      </c>
      <c r="C35" s="144">
        <v>41139</v>
      </c>
      <c r="D35" s="144">
        <v>41153</v>
      </c>
      <c r="E35" s="241" t="s">
        <v>854</v>
      </c>
      <c r="G35" s="145" t="s">
        <v>855</v>
      </c>
      <c r="H35" s="143" t="s">
        <v>856</v>
      </c>
      <c r="I35" s="143" t="s">
        <v>18</v>
      </c>
      <c r="J35" s="143" t="s">
        <v>51</v>
      </c>
      <c r="K35" s="143" t="s">
        <v>863</v>
      </c>
      <c r="L35" s="143" t="s">
        <v>862</v>
      </c>
      <c r="N35" s="147" t="s">
        <v>859</v>
      </c>
      <c r="O35" s="148">
        <f>1590+1390+42+70</f>
        <v>3092</v>
      </c>
      <c r="Q35" s="143" t="s">
        <v>864</v>
      </c>
      <c r="R35" s="145">
        <v>2</v>
      </c>
      <c r="S35" s="145" t="s">
        <v>864</v>
      </c>
      <c r="T35" s="145" t="s">
        <v>860</v>
      </c>
      <c r="U35" s="239">
        <f>O35/4</f>
        <v>773</v>
      </c>
      <c r="V35" s="238">
        <v>40941</v>
      </c>
    </row>
    <row r="36" spans="1:26" s="143" customFormat="1">
      <c r="A36" s="142" t="s">
        <v>953</v>
      </c>
      <c r="B36" s="143" t="s">
        <v>954</v>
      </c>
      <c r="C36" s="144">
        <v>41161</v>
      </c>
      <c r="D36" s="144">
        <v>41174</v>
      </c>
      <c r="E36" s="143" t="s">
        <v>960</v>
      </c>
      <c r="G36" s="145" t="s">
        <v>956</v>
      </c>
      <c r="H36" s="143" t="s">
        <v>955</v>
      </c>
      <c r="I36" s="143" t="s">
        <v>18</v>
      </c>
      <c r="J36" s="143" t="s">
        <v>51</v>
      </c>
      <c r="L36" s="143" t="s">
        <v>957</v>
      </c>
      <c r="N36" s="147" t="s">
        <v>958</v>
      </c>
      <c r="O36" s="148">
        <f>990*2</f>
        <v>1980</v>
      </c>
      <c r="Q36" s="143" t="s">
        <v>959</v>
      </c>
      <c r="R36" s="145">
        <v>2</v>
      </c>
      <c r="S36" s="145">
        <v>2</v>
      </c>
      <c r="T36" s="145">
        <v>3</v>
      </c>
      <c r="U36" s="239">
        <v>495</v>
      </c>
      <c r="V36" s="240">
        <v>41101</v>
      </c>
      <c r="W36" s="143" t="s">
        <v>791</v>
      </c>
    </row>
    <row r="37" spans="1:26" s="177" customFormat="1" ht="13.8">
      <c r="A37" s="142" t="s">
        <v>931</v>
      </c>
      <c r="B37" s="143" t="s">
        <v>932</v>
      </c>
      <c r="C37" s="144">
        <v>41181</v>
      </c>
      <c r="D37" s="144">
        <v>41188</v>
      </c>
      <c r="E37" s="241"/>
      <c r="F37" s="143"/>
      <c r="G37" s="145"/>
      <c r="H37" s="242" t="s">
        <v>995</v>
      </c>
      <c r="I37" s="143" t="s">
        <v>18</v>
      </c>
      <c r="J37" s="143" t="s">
        <v>51</v>
      </c>
      <c r="K37" s="143"/>
      <c r="L37" s="143" t="s">
        <v>994</v>
      </c>
      <c r="M37" s="143"/>
      <c r="N37" s="580" t="s">
        <v>930</v>
      </c>
      <c r="O37" s="581">
        <f>890+70+21+70</f>
        <v>1051</v>
      </c>
      <c r="P37" s="143"/>
      <c r="Q37" s="143">
        <v>2</v>
      </c>
      <c r="R37" s="145">
        <v>1</v>
      </c>
      <c r="S37" s="145">
        <v>2</v>
      </c>
      <c r="T37" s="145">
        <v>1</v>
      </c>
      <c r="U37" s="239">
        <v>225</v>
      </c>
      <c r="V37" s="238">
        <v>41034</v>
      </c>
      <c r="W37" s="143" t="s">
        <v>933</v>
      </c>
      <c r="X37" s="143"/>
      <c r="Y37" s="143"/>
      <c r="Z37" s="143"/>
    </row>
    <row r="38" spans="1:26" s="143" customFormat="1">
      <c r="A38" s="142" t="s">
        <v>947</v>
      </c>
      <c r="C38" s="144">
        <v>41188</v>
      </c>
      <c r="D38" s="144">
        <v>41198</v>
      </c>
      <c r="E38" s="143" t="s">
        <v>948</v>
      </c>
      <c r="G38" s="145">
        <v>66879</v>
      </c>
      <c r="H38" s="143" t="s">
        <v>949</v>
      </c>
      <c r="I38" s="143" t="s">
        <v>18</v>
      </c>
      <c r="J38" s="143" t="s">
        <v>51</v>
      </c>
      <c r="K38" s="143">
        <v>49637170197</v>
      </c>
      <c r="L38" s="173" t="s">
        <v>1005</v>
      </c>
      <c r="N38" s="147"/>
      <c r="O38" s="148">
        <f>790*2-330+70</f>
        <v>1320</v>
      </c>
      <c r="Q38" s="143" t="s">
        <v>674</v>
      </c>
      <c r="R38" s="145">
        <v>2</v>
      </c>
      <c r="S38" s="145">
        <v>5</v>
      </c>
      <c r="T38" s="145"/>
      <c r="U38" s="243">
        <v>300</v>
      </c>
      <c r="V38" s="238"/>
      <c r="W38" s="143" t="s">
        <v>951</v>
      </c>
    </row>
    <row r="39" spans="1:26" s="143" customFormat="1">
      <c r="A39" s="142" t="s">
        <v>1006</v>
      </c>
      <c r="B39" s="143" t="s">
        <v>693</v>
      </c>
      <c r="C39" s="144">
        <v>41415</v>
      </c>
      <c r="D39" s="144">
        <v>41426</v>
      </c>
      <c r="E39" s="143" t="s">
        <v>1007</v>
      </c>
      <c r="G39" s="145"/>
      <c r="I39" s="143" t="s">
        <v>18</v>
      </c>
      <c r="J39" s="143" t="s">
        <v>51</v>
      </c>
      <c r="K39" s="143" t="s">
        <v>1008</v>
      </c>
      <c r="L39" s="143" t="s">
        <v>1009</v>
      </c>
      <c r="N39" s="147" t="s">
        <v>1010</v>
      </c>
      <c r="O39" s="148">
        <f>1680+70</f>
        <v>1750</v>
      </c>
      <c r="Q39" s="143" t="s">
        <v>1011</v>
      </c>
      <c r="R39" s="145">
        <v>2</v>
      </c>
      <c r="S39" s="145" t="s">
        <v>1012</v>
      </c>
      <c r="T39" s="145">
        <v>0</v>
      </c>
      <c r="U39" s="236">
        <v>420</v>
      </c>
      <c r="V39" s="238">
        <v>41196</v>
      </c>
      <c r="W39" s="143" t="s">
        <v>1013</v>
      </c>
    </row>
    <row r="40" spans="1:26" s="143" customFormat="1">
      <c r="A40" s="142" t="s">
        <v>810</v>
      </c>
      <c r="B40" s="143" t="s">
        <v>1113</v>
      </c>
      <c r="C40" s="144">
        <v>41461</v>
      </c>
      <c r="D40" s="144">
        <v>41475</v>
      </c>
      <c r="E40" s="143" t="s">
        <v>1114</v>
      </c>
      <c r="G40" s="145" t="s">
        <v>1115</v>
      </c>
      <c r="H40" s="143" t="s">
        <v>1116</v>
      </c>
      <c r="I40" s="143" t="s">
        <v>18</v>
      </c>
      <c r="J40" s="143" t="s">
        <v>51</v>
      </c>
      <c r="K40" s="143" t="s">
        <v>1117</v>
      </c>
      <c r="L40" s="143" t="s">
        <v>1118</v>
      </c>
      <c r="N40" s="147" t="s">
        <v>1112</v>
      </c>
      <c r="O40" s="148">
        <v>3000</v>
      </c>
      <c r="R40" s="145">
        <v>2</v>
      </c>
      <c r="S40" s="145" t="s">
        <v>1119</v>
      </c>
      <c r="T40" s="145"/>
      <c r="U40" s="236">
        <v>750</v>
      </c>
      <c r="V40" s="238">
        <v>41364</v>
      </c>
      <c r="W40" s="143" t="s">
        <v>1071</v>
      </c>
    </row>
    <row r="41" spans="1:26" s="143" customFormat="1">
      <c r="A41" s="142" t="s">
        <v>1134</v>
      </c>
      <c r="B41" s="143" t="s">
        <v>1133</v>
      </c>
      <c r="C41" s="144">
        <v>41475</v>
      </c>
      <c r="D41" s="144">
        <v>41482</v>
      </c>
      <c r="E41" s="143" t="s">
        <v>1139</v>
      </c>
      <c r="G41" s="145" t="s">
        <v>1140</v>
      </c>
      <c r="H41" s="143" t="s">
        <v>1141</v>
      </c>
      <c r="I41" s="143" t="s">
        <v>18</v>
      </c>
      <c r="J41" s="143" t="s">
        <v>51</v>
      </c>
      <c r="K41" s="254" t="s">
        <v>1135</v>
      </c>
      <c r="L41" s="143" t="s">
        <v>1136</v>
      </c>
      <c r="N41" s="147" t="s">
        <v>1137</v>
      </c>
      <c r="O41" s="148">
        <v>1790</v>
      </c>
      <c r="R41" s="145">
        <v>1</v>
      </c>
      <c r="S41" s="145" t="s">
        <v>1138</v>
      </c>
      <c r="T41" s="145">
        <v>2</v>
      </c>
      <c r="U41" s="236">
        <v>547.5</v>
      </c>
      <c r="V41" s="238">
        <v>41427</v>
      </c>
      <c r="W41" s="143" t="s">
        <v>1052</v>
      </c>
      <c r="X41" s="255">
        <f>O41-U41</f>
        <v>1242.5</v>
      </c>
    </row>
    <row r="42" spans="1:26" s="143" customFormat="1">
      <c r="A42" s="142" t="s">
        <v>1053</v>
      </c>
      <c r="B42" s="143" t="s">
        <v>1054</v>
      </c>
      <c r="C42" s="144">
        <v>41489</v>
      </c>
      <c r="D42" s="144">
        <v>41503</v>
      </c>
      <c r="E42" s="143" t="s">
        <v>1055</v>
      </c>
      <c r="G42" s="145">
        <v>70180</v>
      </c>
      <c r="H42" s="143" t="s">
        <v>1056</v>
      </c>
      <c r="I42" s="143" t="s">
        <v>18</v>
      </c>
      <c r="J42" s="143" t="s">
        <v>51</v>
      </c>
      <c r="K42" s="143" t="s">
        <v>1057</v>
      </c>
      <c r="L42" s="143" t="s">
        <v>1058</v>
      </c>
      <c r="N42" s="147"/>
      <c r="O42" s="148">
        <f>2*1990</f>
        <v>3980</v>
      </c>
      <c r="Q42" s="143" t="s">
        <v>1060</v>
      </c>
      <c r="R42" s="145">
        <v>2</v>
      </c>
      <c r="S42" s="145" t="s">
        <v>1061</v>
      </c>
      <c r="T42" s="145">
        <v>1</v>
      </c>
      <c r="U42" s="236">
        <f>985</f>
        <v>985</v>
      </c>
      <c r="V42" s="240">
        <v>41293</v>
      </c>
      <c r="W42" s="143" t="s">
        <v>791</v>
      </c>
    </row>
    <row r="43" spans="1:26" s="143" customFormat="1">
      <c r="A43" s="142" t="s">
        <v>1157</v>
      </c>
      <c r="B43" s="143" t="s">
        <v>1158</v>
      </c>
      <c r="C43" s="144">
        <v>41503</v>
      </c>
      <c r="D43" s="144">
        <v>41510</v>
      </c>
      <c r="E43" s="143" t="s">
        <v>1159</v>
      </c>
      <c r="G43" s="145" t="s">
        <v>1160</v>
      </c>
      <c r="H43" s="143" t="s">
        <v>1161</v>
      </c>
      <c r="I43" s="143" t="s">
        <v>18</v>
      </c>
      <c r="J43" s="143" t="s">
        <v>1023</v>
      </c>
      <c r="K43" s="143" t="s">
        <v>1162</v>
      </c>
      <c r="L43" s="143" t="s">
        <v>1163</v>
      </c>
      <c r="N43" s="147" t="s">
        <v>1164</v>
      </c>
      <c r="O43" s="148">
        <f>1390+70</f>
        <v>1460</v>
      </c>
      <c r="Q43" s="143" t="s">
        <v>1165</v>
      </c>
      <c r="R43" s="145">
        <v>2</v>
      </c>
      <c r="S43" s="145" t="s">
        <v>1025</v>
      </c>
      <c r="T43" s="145"/>
      <c r="U43" s="236">
        <f>2480/4</f>
        <v>620</v>
      </c>
      <c r="V43" s="238">
        <v>41207</v>
      </c>
    </row>
    <row r="44" spans="1:26" s="143" customFormat="1">
      <c r="A44" s="142" t="s">
        <v>1022</v>
      </c>
      <c r="B44" s="143" t="s">
        <v>1021</v>
      </c>
      <c r="C44" s="144">
        <v>41517</v>
      </c>
      <c r="D44" s="144">
        <v>41531</v>
      </c>
      <c r="G44" s="145"/>
      <c r="I44" s="143" t="s">
        <v>18</v>
      </c>
      <c r="J44" s="143" t="s">
        <v>1023</v>
      </c>
      <c r="L44" s="143" t="s">
        <v>1024</v>
      </c>
      <c r="N44" s="147" t="s">
        <v>1020</v>
      </c>
      <c r="O44" s="148">
        <f>1290+1190+70+42</f>
        <v>2592</v>
      </c>
      <c r="Q44" s="143" t="s">
        <v>1025</v>
      </c>
      <c r="R44" s="145">
        <v>2</v>
      </c>
      <c r="S44" s="145" t="s">
        <v>1025</v>
      </c>
      <c r="T44" s="145"/>
      <c r="U44" s="236">
        <f>2480/4</f>
        <v>620</v>
      </c>
      <c r="V44" s="238">
        <v>41207</v>
      </c>
    </row>
    <row r="45" spans="1:26" s="143" customFormat="1">
      <c r="A45" s="142" t="s">
        <v>1091</v>
      </c>
      <c r="B45" s="143" t="s">
        <v>1089</v>
      </c>
      <c r="C45" s="144">
        <v>41531</v>
      </c>
      <c r="D45" s="144">
        <v>41545</v>
      </c>
      <c r="E45" s="143" t="s">
        <v>1090</v>
      </c>
      <c r="G45" s="145" t="s">
        <v>1093</v>
      </c>
      <c r="H45" s="143" t="s">
        <v>1092</v>
      </c>
      <c r="I45" s="143" t="s">
        <v>18</v>
      </c>
      <c r="J45" s="143" t="s">
        <v>19</v>
      </c>
      <c r="K45" s="143" t="s">
        <v>1094</v>
      </c>
      <c r="L45" s="143" t="s">
        <v>1095</v>
      </c>
      <c r="N45" s="147" t="s">
        <v>1096</v>
      </c>
      <c r="O45" s="148">
        <f>2000+70+42</f>
        <v>2112</v>
      </c>
      <c r="Q45" s="143" t="s">
        <v>1025</v>
      </c>
      <c r="R45" s="145">
        <v>2</v>
      </c>
      <c r="S45" s="145" t="s">
        <v>1025</v>
      </c>
      <c r="T45" s="145">
        <v>1</v>
      </c>
      <c r="U45" s="236">
        <v>500</v>
      </c>
      <c r="V45" s="240">
        <v>41326</v>
      </c>
      <c r="W45" s="143" t="s">
        <v>1052</v>
      </c>
    </row>
    <row r="46" spans="1:26" s="143" customFormat="1">
      <c r="A46" s="142" t="s">
        <v>444</v>
      </c>
      <c r="B46" s="143" t="s">
        <v>256</v>
      </c>
      <c r="C46" s="144">
        <v>41552</v>
      </c>
      <c r="D46" s="144">
        <v>41559</v>
      </c>
      <c r="G46" s="145"/>
      <c r="I46" s="143" t="s">
        <v>18</v>
      </c>
      <c r="J46" s="143" t="s">
        <v>19</v>
      </c>
      <c r="L46" s="143" t="s">
        <v>1145</v>
      </c>
      <c r="N46" s="147"/>
      <c r="O46" s="148">
        <v>790</v>
      </c>
      <c r="R46" s="145">
        <v>1</v>
      </c>
      <c r="S46" s="145">
        <v>2</v>
      </c>
      <c r="T46" s="145">
        <v>0</v>
      </c>
      <c r="U46" s="149">
        <v>200</v>
      </c>
      <c r="W46" s="143" t="s">
        <v>1144</v>
      </c>
    </row>
    <row r="47" spans="1:26" s="143" customFormat="1">
      <c r="A47" s="142" t="s">
        <v>1173</v>
      </c>
      <c r="B47" s="143" t="s">
        <v>1174</v>
      </c>
      <c r="C47" s="144">
        <v>41636</v>
      </c>
      <c r="D47" s="144">
        <v>41650</v>
      </c>
      <c r="E47" s="143" t="s">
        <v>1175</v>
      </c>
      <c r="G47" s="145" t="s">
        <v>1176</v>
      </c>
      <c r="H47" s="143" t="s">
        <v>868</v>
      </c>
      <c r="I47" s="143" t="s">
        <v>18</v>
      </c>
      <c r="J47" s="143" t="s">
        <v>51</v>
      </c>
      <c r="K47" s="143" t="s">
        <v>1177</v>
      </c>
      <c r="L47" s="143" t="s">
        <v>1178</v>
      </c>
      <c r="N47" s="147" t="s">
        <v>1179</v>
      </c>
      <c r="O47" s="148">
        <f>1150+690+70</f>
        <v>1910</v>
      </c>
      <c r="Q47" s="143" t="s">
        <v>1185</v>
      </c>
      <c r="R47" s="145">
        <v>2</v>
      </c>
      <c r="S47" s="145" t="s">
        <v>1180</v>
      </c>
      <c r="T47" s="145">
        <v>2</v>
      </c>
      <c r="U47" s="149">
        <v>500</v>
      </c>
      <c r="V47" s="143">
        <v>41551</v>
      </c>
      <c r="W47" s="143" t="s">
        <v>1181</v>
      </c>
      <c r="X47" s="143" t="s">
        <v>1182</v>
      </c>
    </row>
    <row r="48" spans="1:26" s="143" customFormat="1" ht="10.8" thickBot="1">
      <c r="A48" s="142" t="s">
        <v>1194</v>
      </c>
      <c r="B48" s="143" t="s">
        <v>1193</v>
      </c>
      <c r="C48" s="144">
        <v>41741</v>
      </c>
      <c r="D48" s="144">
        <v>41755</v>
      </c>
      <c r="E48" s="143" t="s">
        <v>1195</v>
      </c>
      <c r="G48" s="145" t="s">
        <v>1196</v>
      </c>
      <c r="H48" s="143" t="s">
        <v>1197</v>
      </c>
      <c r="I48" s="143" t="s">
        <v>18</v>
      </c>
      <c r="J48" s="143" t="s">
        <v>51</v>
      </c>
      <c r="K48" s="143" t="s">
        <v>1198</v>
      </c>
      <c r="L48" s="143" t="s">
        <v>1199</v>
      </c>
      <c r="N48" s="147"/>
      <c r="O48" s="148">
        <f>790+790</f>
        <v>1580</v>
      </c>
      <c r="Q48" s="143" t="s">
        <v>1201</v>
      </c>
      <c r="R48" s="145">
        <v>2</v>
      </c>
      <c r="S48" s="145" t="s">
        <v>1202</v>
      </c>
      <c r="T48" s="145">
        <v>0</v>
      </c>
      <c r="U48" s="236">
        <f>1580/4</f>
        <v>395</v>
      </c>
      <c r="V48" s="238">
        <v>41603</v>
      </c>
      <c r="W48" s="143" t="s">
        <v>791</v>
      </c>
      <c r="X48" s="143" t="s">
        <v>1154</v>
      </c>
    </row>
    <row r="49" spans="1:26" ht="13.8" hidden="1" thickBot="1">
      <c r="A49" s="153"/>
      <c r="E49" s="155"/>
      <c r="N49" s="156"/>
      <c r="O49" s="157"/>
      <c r="U49" s="158"/>
    </row>
    <row r="50" spans="1:26" ht="10.8" thickBot="1">
      <c r="A50" s="167" t="s">
        <v>1147</v>
      </c>
      <c r="B50" s="534" t="s">
        <v>1148</v>
      </c>
      <c r="C50" s="144">
        <v>41769</v>
      </c>
      <c r="D50" s="562">
        <v>41783</v>
      </c>
      <c r="E50" s="534" t="s">
        <v>1149</v>
      </c>
      <c r="F50" s="143"/>
      <c r="G50" s="145" t="s">
        <v>1150</v>
      </c>
      <c r="H50" s="143" t="s">
        <v>1151</v>
      </c>
      <c r="I50" s="143" t="s">
        <v>18</v>
      </c>
      <c r="J50" s="143" t="s">
        <v>51</v>
      </c>
      <c r="K50" s="143"/>
      <c r="L50" s="143" t="s">
        <v>1152</v>
      </c>
      <c r="M50" s="143"/>
      <c r="N50" s="147" t="s">
        <v>1153</v>
      </c>
      <c r="O50" s="148">
        <f>790*2</f>
        <v>1580</v>
      </c>
      <c r="P50" s="143"/>
      <c r="Q50" s="143" t="s">
        <v>1267</v>
      </c>
      <c r="R50" s="145">
        <v>2</v>
      </c>
      <c r="S50" s="145" t="s">
        <v>1025</v>
      </c>
      <c r="T50" s="145">
        <v>1</v>
      </c>
      <c r="U50" s="236">
        <f>O50/4</f>
        <v>395</v>
      </c>
      <c r="V50" s="238">
        <v>41467</v>
      </c>
      <c r="W50" s="143" t="s">
        <v>791</v>
      </c>
      <c r="X50" s="143" t="s">
        <v>1154</v>
      </c>
      <c r="Y50" s="143">
        <f>1580/4</f>
        <v>395</v>
      </c>
      <c r="Z50" s="143" t="s">
        <v>1172</v>
      </c>
    </row>
    <row r="51" spans="1:26" ht="10.8" thickBot="1">
      <c r="A51" s="207" t="s">
        <v>1186</v>
      </c>
      <c r="B51" s="529" t="s">
        <v>1187</v>
      </c>
      <c r="C51" s="546">
        <v>41783</v>
      </c>
      <c r="D51" s="558">
        <v>41797</v>
      </c>
      <c r="E51" s="530" t="s">
        <v>1188</v>
      </c>
      <c r="F51" s="143"/>
      <c r="G51" s="145"/>
      <c r="H51" s="143"/>
      <c r="I51" s="143" t="s">
        <v>18</v>
      </c>
      <c r="J51" s="143" t="s">
        <v>51</v>
      </c>
      <c r="K51" s="143" t="s">
        <v>1189</v>
      </c>
      <c r="L51" s="143" t="s">
        <v>1190</v>
      </c>
      <c r="M51" s="143"/>
      <c r="N51" s="580" t="s">
        <v>1191</v>
      </c>
      <c r="O51" s="581">
        <f>890+990+70</f>
        <v>1950</v>
      </c>
      <c r="P51" s="143"/>
      <c r="Q51" s="143" t="s">
        <v>1192</v>
      </c>
      <c r="R51" s="145">
        <v>2</v>
      </c>
      <c r="S51" s="145" t="s">
        <v>717</v>
      </c>
      <c r="T51" s="145">
        <v>2</v>
      </c>
      <c r="U51" s="236">
        <f>1880/4</f>
        <v>470</v>
      </c>
      <c r="V51" s="238">
        <v>41601</v>
      </c>
      <c r="W51" s="143" t="s">
        <v>791</v>
      </c>
      <c r="X51" s="143" t="s">
        <v>1154</v>
      </c>
      <c r="Y51" s="143"/>
      <c r="Z51" s="143"/>
    </row>
    <row r="52" spans="1:26" ht="10.8" thickBot="1">
      <c r="A52" s="142" t="s">
        <v>555</v>
      </c>
      <c r="B52" s="143" t="s">
        <v>1251</v>
      </c>
      <c r="C52" s="144">
        <v>41797</v>
      </c>
      <c r="D52" s="558">
        <v>41811</v>
      </c>
      <c r="E52" s="530" t="s">
        <v>1252</v>
      </c>
      <c r="F52" s="143"/>
      <c r="G52" s="145" t="s">
        <v>1253</v>
      </c>
      <c r="H52" s="143" t="s">
        <v>1254</v>
      </c>
      <c r="I52" s="143" t="s">
        <v>18</v>
      </c>
      <c r="J52" s="143" t="s">
        <v>51</v>
      </c>
      <c r="K52" s="143"/>
      <c r="L52" s="143" t="s">
        <v>1255</v>
      </c>
      <c r="M52" s="143"/>
      <c r="N52" s="147" t="s">
        <v>1256</v>
      </c>
      <c r="O52" s="148">
        <f>1090+1190+70</f>
        <v>2350</v>
      </c>
      <c r="P52" s="143"/>
      <c r="Q52" s="143"/>
      <c r="R52" s="145">
        <v>2</v>
      </c>
      <c r="S52" s="145" t="s">
        <v>1258</v>
      </c>
      <c r="T52" s="145" t="s">
        <v>1257</v>
      </c>
      <c r="U52" s="236">
        <v>570</v>
      </c>
      <c r="V52" s="238">
        <v>41701</v>
      </c>
      <c r="W52" s="143" t="s">
        <v>791</v>
      </c>
      <c r="X52" s="143"/>
      <c r="Y52" s="143"/>
      <c r="Z52" s="143"/>
    </row>
    <row r="53" spans="1:26" ht="10.8" thickBot="1">
      <c r="A53" s="508" t="s">
        <v>1237</v>
      </c>
      <c r="B53" s="531" t="s">
        <v>693</v>
      </c>
      <c r="C53" s="144">
        <v>41811</v>
      </c>
      <c r="D53" s="558">
        <v>41818</v>
      </c>
      <c r="E53" s="530" t="s">
        <v>1238</v>
      </c>
      <c r="F53" s="143"/>
      <c r="G53" s="145" t="s">
        <v>1239</v>
      </c>
      <c r="H53" s="143" t="s">
        <v>1240</v>
      </c>
      <c r="I53" s="143" t="s">
        <v>18</v>
      </c>
      <c r="J53" s="143" t="s">
        <v>51</v>
      </c>
      <c r="K53" s="143" t="s">
        <v>1241</v>
      </c>
      <c r="L53" s="143" t="s">
        <v>1242</v>
      </c>
      <c r="M53" s="143"/>
      <c r="N53" s="147" t="s">
        <v>1243</v>
      </c>
      <c r="O53" s="148">
        <f>1290+70+21</f>
        <v>1381</v>
      </c>
      <c r="P53" s="143"/>
      <c r="Q53" s="143" t="s">
        <v>1244</v>
      </c>
      <c r="R53" s="145">
        <v>1</v>
      </c>
      <c r="S53" s="145" t="s">
        <v>1244</v>
      </c>
      <c r="T53" s="145">
        <v>1</v>
      </c>
      <c r="U53" s="236">
        <f>1290/4</f>
        <v>322.5</v>
      </c>
      <c r="V53" s="238">
        <v>41664</v>
      </c>
      <c r="W53" s="143" t="s">
        <v>791</v>
      </c>
      <c r="X53" s="143" t="s">
        <v>1154</v>
      </c>
      <c r="Y53" s="143"/>
      <c r="Z53" s="143"/>
    </row>
    <row r="54" spans="1:26">
      <c r="A54" s="142" t="s">
        <v>1286</v>
      </c>
      <c r="B54" s="143" t="s">
        <v>1285</v>
      </c>
      <c r="C54" s="144">
        <v>41839</v>
      </c>
      <c r="D54" s="558">
        <v>41853</v>
      </c>
      <c r="E54" s="530" t="s">
        <v>1287</v>
      </c>
      <c r="F54" s="143"/>
      <c r="G54" s="145" t="s">
        <v>1288</v>
      </c>
      <c r="H54" s="143" t="s">
        <v>868</v>
      </c>
      <c r="I54" s="143" t="s">
        <v>18</v>
      </c>
      <c r="J54" s="143" t="s">
        <v>51</v>
      </c>
      <c r="K54" s="143" t="s">
        <v>1289</v>
      </c>
      <c r="L54" s="143"/>
      <c r="M54" s="143"/>
      <c r="N54" s="580" t="s">
        <v>1290</v>
      </c>
      <c r="O54" s="581">
        <v>3000</v>
      </c>
      <c r="P54" s="143"/>
      <c r="Q54" s="143" t="s">
        <v>1291</v>
      </c>
      <c r="R54" s="145">
        <v>2</v>
      </c>
      <c r="S54" s="145">
        <v>4</v>
      </c>
      <c r="T54" s="145">
        <v>0</v>
      </c>
      <c r="U54" s="236">
        <v>0</v>
      </c>
      <c r="V54" s="238">
        <v>41822</v>
      </c>
      <c r="W54" s="143"/>
      <c r="X54" s="143" t="s">
        <v>1217</v>
      </c>
      <c r="Y54" s="143"/>
      <c r="Z54" s="143"/>
    </row>
    <row r="55" spans="1:26" ht="10.8" thickBot="1">
      <c r="A55" s="142" t="s">
        <v>1260</v>
      </c>
      <c r="B55" s="143" t="s">
        <v>1259</v>
      </c>
      <c r="C55" s="144">
        <v>41853</v>
      </c>
      <c r="D55" s="559">
        <v>41867</v>
      </c>
      <c r="E55" s="529" t="s">
        <v>1261</v>
      </c>
      <c r="F55" s="143"/>
      <c r="G55" s="145" t="s">
        <v>670</v>
      </c>
      <c r="H55" s="143" t="s">
        <v>1262</v>
      </c>
      <c r="I55" s="143" t="s">
        <v>18</v>
      </c>
      <c r="J55" s="143" t="s">
        <v>51</v>
      </c>
      <c r="K55" s="143"/>
      <c r="L55" s="143" t="s">
        <v>1263</v>
      </c>
      <c r="M55" s="143"/>
      <c r="N55" s="147" t="s">
        <v>1264</v>
      </c>
      <c r="O55" s="148">
        <f>1990+1990+70+42</f>
        <v>4092</v>
      </c>
      <c r="P55" s="143"/>
      <c r="Q55" s="143" t="s">
        <v>1265</v>
      </c>
      <c r="R55" s="145">
        <v>2</v>
      </c>
      <c r="S55" s="145" t="s">
        <v>1266</v>
      </c>
      <c r="T55" s="145">
        <v>1</v>
      </c>
      <c r="U55" s="236">
        <f>1000</f>
        <v>1000</v>
      </c>
      <c r="V55" s="238">
        <v>41701</v>
      </c>
      <c r="W55" s="143" t="s">
        <v>791</v>
      </c>
      <c r="X55" s="143"/>
      <c r="Y55" s="143"/>
      <c r="Z55" s="143"/>
    </row>
    <row r="56" spans="1:26" ht="10.8" thickBot="1">
      <c r="A56" s="207" t="s">
        <v>1209</v>
      </c>
      <c r="B56" s="208" t="s">
        <v>1210</v>
      </c>
      <c r="C56" s="209">
        <v>41897</v>
      </c>
      <c r="D56" s="559">
        <v>41908</v>
      </c>
      <c r="E56" s="529" t="s">
        <v>1211</v>
      </c>
      <c r="F56" s="208"/>
      <c r="G56" s="210" t="s">
        <v>1212</v>
      </c>
      <c r="H56" s="208" t="s">
        <v>1213</v>
      </c>
      <c r="I56" s="208" t="s">
        <v>18</v>
      </c>
      <c r="J56" s="208" t="s">
        <v>51</v>
      </c>
      <c r="K56" s="208" t="s">
        <v>1214</v>
      </c>
      <c r="L56" s="208"/>
      <c r="M56" s="208"/>
      <c r="N56" s="211" t="s">
        <v>1215</v>
      </c>
      <c r="O56" s="212">
        <f>2000+50</f>
        <v>2050</v>
      </c>
      <c r="P56" s="208"/>
      <c r="Q56" s="208" t="s">
        <v>1216</v>
      </c>
      <c r="R56" s="210">
        <v>2</v>
      </c>
      <c r="S56" s="210" t="s">
        <v>199</v>
      </c>
      <c r="T56" s="210">
        <v>2</v>
      </c>
      <c r="U56" s="608">
        <v>500</v>
      </c>
      <c r="V56" s="238">
        <v>41656</v>
      </c>
      <c r="W56" s="143" t="s">
        <v>791</v>
      </c>
      <c r="X56" s="143" t="s">
        <v>1217</v>
      </c>
      <c r="Y56" s="143"/>
      <c r="Z56" s="143"/>
    </row>
    <row r="57" spans="1:26" ht="13.2">
      <c r="A57" s="142" t="s">
        <v>1330</v>
      </c>
      <c r="B57" s="143" t="s">
        <v>1331</v>
      </c>
      <c r="C57" s="144">
        <v>42001</v>
      </c>
      <c r="D57" s="144">
        <v>42022</v>
      </c>
      <c r="E57" s="143" t="s">
        <v>1332</v>
      </c>
      <c r="F57" s="143"/>
      <c r="G57" s="145" t="s">
        <v>1333</v>
      </c>
      <c r="H57" s="143" t="s">
        <v>1334</v>
      </c>
      <c r="I57" s="143" t="s">
        <v>18</v>
      </c>
      <c r="J57" s="143" t="s">
        <v>51</v>
      </c>
      <c r="K57" s="143"/>
      <c r="L57" s="143" t="s">
        <v>1335</v>
      </c>
      <c r="M57" s="143"/>
      <c r="N57" s="253" t="s">
        <v>1336</v>
      </c>
      <c r="O57" s="148">
        <f>960+180</f>
        <v>1140</v>
      </c>
      <c r="P57" s="143"/>
      <c r="Q57" s="143" t="s">
        <v>1337</v>
      </c>
      <c r="R57" s="145">
        <v>1</v>
      </c>
      <c r="S57" s="145">
        <v>2</v>
      </c>
      <c r="T57" s="145">
        <v>3</v>
      </c>
      <c r="U57" s="586"/>
      <c r="V57" s="238">
        <v>41962</v>
      </c>
      <c r="W57" s="143" t="s">
        <v>1338</v>
      </c>
      <c r="X57" s="143" t="s">
        <v>1217</v>
      </c>
      <c r="Y57" s="143"/>
      <c r="Z57" s="143"/>
    </row>
    <row r="58" spans="1:26" ht="13.2">
      <c r="A58" s="143" t="s">
        <v>1330</v>
      </c>
      <c r="B58" s="143" t="s">
        <v>1331</v>
      </c>
      <c r="C58" s="144">
        <v>42001</v>
      </c>
      <c r="D58" s="144">
        <v>42022</v>
      </c>
      <c r="E58" s="143" t="s">
        <v>1332</v>
      </c>
      <c r="F58" s="143"/>
      <c r="G58" s="145" t="s">
        <v>1333</v>
      </c>
      <c r="H58" s="143" t="s">
        <v>1334</v>
      </c>
      <c r="I58" s="143" t="s">
        <v>18</v>
      </c>
      <c r="J58" s="143" t="s">
        <v>51</v>
      </c>
      <c r="K58" s="143"/>
      <c r="L58" s="143" t="s">
        <v>1335</v>
      </c>
      <c r="M58" s="143"/>
      <c r="N58" s="253" t="s">
        <v>1339</v>
      </c>
      <c r="O58" s="148">
        <f>2200-960</f>
        <v>1240</v>
      </c>
      <c r="P58" s="143"/>
      <c r="Q58" s="143" t="s">
        <v>1337</v>
      </c>
      <c r="R58" s="145">
        <v>2</v>
      </c>
      <c r="S58" s="145">
        <v>2</v>
      </c>
      <c r="T58" s="145">
        <v>3</v>
      </c>
      <c r="U58" s="586"/>
      <c r="V58" s="238">
        <v>41962</v>
      </c>
      <c r="W58" s="143" t="s">
        <v>1338</v>
      </c>
      <c r="X58" s="143" t="s">
        <v>1217</v>
      </c>
      <c r="Y58" s="143"/>
      <c r="Z58" s="143"/>
    </row>
    <row r="59" spans="1:26" ht="13.2" hidden="1">
      <c r="A59" s="195"/>
      <c r="B59" s="196"/>
      <c r="C59" s="197"/>
      <c r="D59" s="197"/>
      <c r="E59" s="196"/>
      <c r="F59" s="196"/>
      <c r="G59" s="198"/>
      <c r="H59" s="196"/>
      <c r="I59" s="196"/>
      <c r="J59" s="196"/>
      <c r="K59" s="199"/>
      <c r="L59" s="199"/>
      <c r="M59" s="199"/>
      <c r="N59" s="196"/>
      <c r="O59" s="200"/>
      <c r="P59" s="196"/>
      <c r="Q59" s="196"/>
      <c r="R59" s="198"/>
      <c r="S59" s="198"/>
      <c r="T59" s="198"/>
      <c r="U59" s="201"/>
    </row>
    <row r="60" spans="1:26" s="143" customFormat="1" ht="13.2">
      <c r="A60" s="142" t="s">
        <v>1363</v>
      </c>
      <c r="B60" s="143" t="s">
        <v>1364</v>
      </c>
      <c r="C60" s="144">
        <v>42049</v>
      </c>
      <c r="D60" s="144">
        <v>42056</v>
      </c>
      <c r="E60" s="143" t="s">
        <v>1365</v>
      </c>
      <c r="G60" s="145" t="s">
        <v>1366</v>
      </c>
      <c r="H60" s="143" t="s">
        <v>1367</v>
      </c>
      <c r="I60" s="143" t="s">
        <v>18</v>
      </c>
      <c r="J60" s="143" t="s">
        <v>51</v>
      </c>
      <c r="L60" s="143" t="s">
        <v>1368</v>
      </c>
      <c r="N60" s="253" t="s">
        <v>1369</v>
      </c>
      <c r="O60" s="148">
        <f>690+21+30</f>
        <v>741</v>
      </c>
      <c r="R60" s="145">
        <v>1</v>
      </c>
      <c r="S60" s="145" t="s">
        <v>1410</v>
      </c>
      <c r="T60" s="145">
        <v>1</v>
      </c>
      <c r="U60" s="236">
        <v>200</v>
      </c>
      <c r="V60" s="238">
        <v>42009</v>
      </c>
      <c r="X60" s="143" t="s">
        <v>1154</v>
      </c>
    </row>
    <row r="61" spans="1:26" s="143" customFormat="1" ht="13.2">
      <c r="A61" s="142" t="s">
        <v>527</v>
      </c>
      <c r="B61" s="143" t="s">
        <v>857</v>
      </c>
      <c r="C61" s="144">
        <v>42081</v>
      </c>
      <c r="D61" s="144">
        <v>42095</v>
      </c>
      <c r="E61" s="143" t="s">
        <v>1421</v>
      </c>
      <c r="G61" s="145" t="s">
        <v>1422</v>
      </c>
      <c r="H61" s="143" t="s">
        <v>1423</v>
      </c>
      <c r="I61" s="143" t="s">
        <v>18</v>
      </c>
      <c r="J61" s="143" t="s">
        <v>51</v>
      </c>
      <c r="K61" s="143" t="s">
        <v>1424</v>
      </c>
      <c r="N61" s="253" t="s">
        <v>1425</v>
      </c>
      <c r="O61" s="148">
        <f>690*2</f>
        <v>1380</v>
      </c>
      <c r="Q61" s="143">
        <v>1</v>
      </c>
      <c r="R61" s="145">
        <v>2</v>
      </c>
      <c r="S61" s="145">
        <v>2</v>
      </c>
      <c r="T61" s="145">
        <v>1</v>
      </c>
      <c r="U61" s="236">
        <v>345</v>
      </c>
      <c r="V61" s="238">
        <v>42055</v>
      </c>
      <c r="W61" s="143" t="s">
        <v>791</v>
      </c>
      <c r="X61" s="143" t="s">
        <v>1154</v>
      </c>
    </row>
    <row r="62" spans="1:26" s="143" customFormat="1" ht="13.2">
      <c r="A62" s="142" t="s">
        <v>1305</v>
      </c>
      <c r="B62" s="143" t="s">
        <v>857</v>
      </c>
      <c r="C62" s="144">
        <v>42147</v>
      </c>
      <c r="D62" s="144">
        <v>42154</v>
      </c>
      <c r="E62" s="143" t="s">
        <v>1306</v>
      </c>
      <c r="G62" s="145" t="s">
        <v>1307</v>
      </c>
      <c r="H62" s="143" t="s">
        <v>1308</v>
      </c>
      <c r="I62" s="143" t="s">
        <v>18</v>
      </c>
      <c r="J62" s="143" t="s">
        <v>51</v>
      </c>
      <c r="K62" s="143" t="s">
        <v>1309</v>
      </c>
      <c r="L62" s="143" t="s">
        <v>1310</v>
      </c>
      <c r="N62" s="253" t="s">
        <v>1311</v>
      </c>
      <c r="O62" s="148">
        <f>890+21</f>
        <v>911</v>
      </c>
      <c r="Q62" s="143" t="s">
        <v>1426</v>
      </c>
      <c r="R62" s="145">
        <v>1</v>
      </c>
      <c r="S62" s="145" t="s">
        <v>1312</v>
      </c>
      <c r="T62" s="145">
        <v>1</v>
      </c>
      <c r="U62" s="236">
        <f>890/4</f>
        <v>222.5</v>
      </c>
      <c r="V62" s="238">
        <v>41924</v>
      </c>
      <c r="W62" s="143" t="s">
        <v>791</v>
      </c>
      <c r="X62" s="143" t="s">
        <v>1154</v>
      </c>
    </row>
    <row r="63" spans="1:26" s="143" customFormat="1" ht="13.2">
      <c r="A63" s="142" t="s">
        <v>1375</v>
      </c>
      <c r="B63" s="143" t="s">
        <v>1376</v>
      </c>
      <c r="C63" s="144">
        <v>42154</v>
      </c>
      <c r="D63" s="144">
        <v>42168</v>
      </c>
      <c r="E63" s="143" t="s">
        <v>1377</v>
      </c>
      <c r="G63" s="145" t="s">
        <v>1378</v>
      </c>
      <c r="H63" s="143" t="s">
        <v>1379</v>
      </c>
      <c r="I63" s="143" t="s">
        <v>18</v>
      </c>
      <c r="J63" s="143" t="s">
        <v>51</v>
      </c>
      <c r="L63" s="143" t="s">
        <v>1380</v>
      </c>
      <c r="N63" s="253" t="s">
        <v>1381</v>
      </c>
      <c r="O63" s="148">
        <f>990+1090+70+3*14*2</f>
        <v>2234</v>
      </c>
      <c r="Q63" s="143" t="s">
        <v>1383</v>
      </c>
      <c r="R63" s="145">
        <v>2</v>
      </c>
      <c r="S63" s="145" t="s">
        <v>1382</v>
      </c>
      <c r="T63" s="145">
        <v>2</v>
      </c>
      <c r="U63" s="236">
        <f>2080/4</f>
        <v>520</v>
      </c>
      <c r="V63" s="238">
        <v>42011</v>
      </c>
      <c r="W63" s="143" t="s">
        <v>1338</v>
      </c>
      <c r="X63" s="143" t="s">
        <v>1154</v>
      </c>
    </row>
    <row r="64" spans="1:26" s="143" customFormat="1" ht="13.2">
      <c r="A64" s="142" t="s">
        <v>1313</v>
      </c>
      <c r="B64" s="143" t="s">
        <v>1314</v>
      </c>
      <c r="C64" s="144">
        <v>42168</v>
      </c>
      <c r="D64" s="144">
        <v>42182</v>
      </c>
      <c r="E64" s="143" t="s">
        <v>1315</v>
      </c>
      <c r="G64" s="145" t="s">
        <v>1316</v>
      </c>
      <c r="H64" s="143" t="s">
        <v>1317</v>
      </c>
      <c r="I64" s="143" t="s">
        <v>18</v>
      </c>
      <c r="J64" s="143" t="s">
        <v>51</v>
      </c>
      <c r="K64" s="143" t="s">
        <v>1318</v>
      </c>
      <c r="L64" s="143" t="s">
        <v>1319</v>
      </c>
      <c r="N64" s="679" t="s">
        <v>1320</v>
      </c>
      <c r="O64" s="581">
        <f>1190+1290</f>
        <v>2480</v>
      </c>
      <c r="Q64" s="143" t="s">
        <v>1321</v>
      </c>
      <c r="R64" s="145">
        <v>2</v>
      </c>
      <c r="S64" s="145" t="s">
        <v>199</v>
      </c>
      <c r="T64" s="145">
        <v>3</v>
      </c>
      <c r="U64" s="236">
        <f>620</f>
        <v>620</v>
      </c>
      <c r="V64" s="238">
        <v>41828</v>
      </c>
      <c r="W64" s="143" t="s">
        <v>791</v>
      </c>
      <c r="X64" s="143" t="s">
        <v>1154</v>
      </c>
    </row>
    <row r="65" spans="1:26" s="143" customFormat="1" ht="13.2">
      <c r="A65" s="245" t="s">
        <v>1322</v>
      </c>
      <c r="B65" s="225" t="s">
        <v>538</v>
      </c>
      <c r="C65" s="226">
        <v>42182</v>
      </c>
      <c r="D65" s="226">
        <v>42189</v>
      </c>
      <c r="E65" s="225" t="s">
        <v>1323</v>
      </c>
      <c r="F65" s="225"/>
      <c r="G65" s="227" t="s">
        <v>1324</v>
      </c>
      <c r="H65" s="225" t="s">
        <v>1325</v>
      </c>
      <c r="I65" s="225" t="s">
        <v>18</v>
      </c>
      <c r="J65" s="225" t="s">
        <v>51</v>
      </c>
      <c r="K65" s="225" t="s">
        <v>1326</v>
      </c>
      <c r="L65" s="225" t="s">
        <v>1327</v>
      </c>
      <c r="M65" s="225"/>
      <c r="N65" s="370" t="s">
        <v>1881</v>
      </c>
      <c r="O65" s="229">
        <f>1390-1040</f>
        <v>350</v>
      </c>
      <c r="P65" s="225"/>
      <c r="Q65" s="225" t="s">
        <v>1192</v>
      </c>
      <c r="R65" s="227">
        <v>1</v>
      </c>
      <c r="S65" s="227" t="s">
        <v>199</v>
      </c>
      <c r="T65" s="227">
        <v>2</v>
      </c>
      <c r="U65" s="252">
        <v>350</v>
      </c>
      <c r="V65" s="248">
        <v>41947</v>
      </c>
      <c r="W65" s="225" t="s">
        <v>1329</v>
      </c>
      <c r="X65" s="225" t="s">
        <v>1154</v>
      </c>
      <c r="Y65" s="225"/>
      <c r="Z65" s="225"/>
    </row>
    <row r="66" spans="1:26" s="143" customFormat="1" ht="13.2">
      <c r="A66" s="142" t="s">
        <v>1412</v>
      </c>
      <c r="B66" s="143" t="s">
        <v>1413</v>
      </c>
      <c r="C66" s="144">
        <v>42217</v>
      </c>
      <c r="D66" s="144">
        <v>42231</v>
      </c>
      <c r="E66" s="143" t="s">
        <v>1414</v>
      </c>
      <c r="G66" s="145" t="s">
        <v>1415</v>
      </c>
      <c r="H66" s="143" t="s">
        <v>1416</v>
      </c>
      <c r="I66" s="143" t="s">
        <v>18</v>
      </c>
      <c r="J66" s="143" t="s">
        <v>51</v>
      </c>
      <c r="K66" s="143" t="s">
        <v>1417</v>
      </c>
      <c r="L66" s="143" t="s">
        <v>1418</v>
      </c>
      <c r="N66" s="253" t="s">
        <v>1419</v>
      </c>
      <c r="O66" s="148">
        <v>3600</v>
      </c>
      <c r="Q66" s="143" t="s">
        <v>1420</v>
      </c>
      <c r="R66" s="145">
        <v>2</v>
      </c>
      <c r="S66" s="145">
        <v>4</v>
      </c>
      <c r="T66" s="145">
        <v>1</v>
      </c>
      <c r="U66" s="236">
        <v>900</v>
      </c>
      <c r="V66" s="238">
        <v>42039</v>
      </c>
      <c r="W66" s="143" t="s">
        <v>791</v>
      </c>
      <c r="X66" s="143" t="s">
        <v>1217</v>
      </c>
    </row>
    <row r="67" spans="1:26" s="143" customFormat="1" ht="13.2">
      <c r="A67" s="142" t="s">
        <v>1433</v>
      </c>
      <c r="B67" s="143" t="s">
        <v>1434</v>
      </c>
      <c r="C67" s="144">
        <v>42252</v>
      </c>
      <c r="D67" s="144">
        <v>42266</v>
      </c>
      <c r="E67" s="143" t="s">
        <v>1435</v>
      </c>
      <c r="G67" s="145" t="s">
        <v>1436</v>
      </c>
      <c r="H67" s="143" t="s">
        <v>1437</v>
      </c>
      <c r="I67" s="143" t="s">
        <v>18</v>
      </c>
      <c r="J67" s="143" t="s">
        <v>51</v>
      </c>
      <c r="K67" s="143" t="s">
        <v>1438</v>
      </c>
      <c r="L67" s="143" t="s">
        <v>1439</v>
      </c>
      <c r="N67" s="253" t="s">
        <v>1440</v>
      </c>
      <c r="O67" s="148">
        <f>1190+1190</f>
        <v>2380</v>
      </c>
      <c r="Q67" s="143" t="s">
        <v>1441</v>
      </c>
      <c r="R67" s="145">
        <v>2</v>
      </c>
      <c r="S67" s="145">
        <v>2</v>
      </c>
      <c r="T67" s="145">
        <v>3</v>
      </c>
      <c r="U67" s="236">
        <f>2380/4</f>
        <v>595</v>
      </c>
      <c r="V67" s="238">
        <v>42070</v>
      </c>
      <c r="X67" s="143" t="s">
        <v>1154</v>
      </c>
    </row>
    <row r="68" spans="1:26" s="143" customFormat="1" ht="13.2">
      <c r="A68" s="142" t="s">
        <v>1452</v>
      </c>
      <c r="B68" s="143" t="s">
        <v>1453</v>
      </c>
      <c r="C68" s="144">
        <v>42294</v>
      </c>
      <c r="D68" s="144">
        <v>42305</v>
      </c>
      <c r="E68" s="143" t="s">
        <v>1454</v>
      </c>
      <c r="G68" s="145" t="s">
        <v>1455</v>
      </c>
      <c r="H68" s="143" t="s">
        <v>1456</v>
      </c>
      <c r="I68" s="143" t="s">
        <v>18</v>
      </c>
      <c r="J68" s="143" t="s">
        <v>51</v>
      </c>
      <c r="K68" s="143" t="s">
        <v>1457</v>
      </c>
      <c r="L68" s="143" t="s">
        <v>1458</v>
      </c>
      <c r="N68" s="253" t="s">
        <v>1459</v>
      </c>
      <c r="O68" s="148">
        <v>1190</v>
      </c>
      <c r="Q68" s="143" t="s">
        <v>1460</v>
      </c>
      <c r="R68" s="145">
        <v>1.5</v>
      </c>
      <c r="S68" s="145"/>
      <c r="T68" s="145">
        <v>1</v>
      </c>
      <c r="U68" s="236">
        <v>297.5</v>
      </c>
      <c r="V68" s="238">
        <v>42242</v>
      </c>
      <c r="X68" s="143" t="s">
        <v>1154</v>
      </c>
    </row>
    <row r="69" spans="1:26" s="143" customFormat="1" ht="13.2">
      <c r="A69" s="338" t="s">
        <v>1469</v>
      </c>
      <c r="B69" s="291" t="s">
        <v>1470</v>
      </c>
      <c r="C69" s="292">
        <v>42448</v>
      </c>
      <c r="D69" s="292">
        <v>42462</v>
      </c>
      <c r="E69" s="291" t="s">
        <v>1471</v>
      </c>
      <c r="F69" s="291"/>
      <c r="G69" s="293" t="s">
        <v>1472</v>
      </c>
      <c r="H69" s="291" t="s">
        <v>937</v>
      </c>
      <c r="I69" s="291" t="s">
        <v>18</v>
      </c>
      <c r="J69" s="291" t="s">
        <v>51</v>
      </c>
      <c r="K69" s="291" t="s">
        <v>1473</v>
      </c>
      <c r="L69" s="291" t="s">
        <v>1474</v>
      </c>
      <c r="M69" s="291"/>
      <c r="N69" s="294" t="s">
        <v>1667</v>
      </c>
      <c r="O69" s="295">
        <f>690*2</f>
        <v>1380</v>
      </c>
      <c r="P69" s="291"/>
      <c r="Q69" s="291"/>
      <c r="R69" s="293">
        <v>2</v>
      </c>
      <c r="S69" s="293" t="s">
        <v>1476</v>
      </c>
      <c r="T69" s="293">
        <v>1</v>
      </c>
      <c r="U69" s="296">
        <v>345</v>
      </c>
      <c r="V69" s="297">
        <v>42324</v>
      </c>
      <c r="W69" s="298" t="s">
        <v>1477</v>
      </c>
      <c r="X69" s="291" t="s">
        <v>1154</v>
      </c>
      <c r="Y69" s="291"/>
      <c r="Z69" s="291"/>
    </row>
    <row r="70" spans="1:26" s="143" customFormat="1" ht="13.2">
      <c r="A70" s="338" t="s">
        <v>1462</v>
      </c>
      <c r="B70" s="291" t="s">
        <v>528</v>
      </c>
      <c r="C70" s="292">
        <v>42518</v>
      </c>
      <c r="D70" s="292">
        <v>42525</v>
      </c>
      <c r="E70" s="291" t="s">
        <v>1463</v>
      </c>
      <c r="F70" s="291"/>
      <c r="G70" s="293" t="s">
        <v>1464</v>
      </c>
      <c r="H70" s="291" t="s">
        <v>1465</v>
      </c>
      <c r="I70" s="291" t="s">
        <v>18</v>
      </c>
      <c r="J70" s="291" t="s">
        <v>51</v>
      </c>
      <c r="K70" s="291" t="s">
        <v>1466</v>
      </c>
      <c r="L70" s="291" t="s">
        <v>1467</v>
      </c>
      <c r="M70" s="291"/>
      <c r="N70" s="294" t="s">
        <v>1468</v>
      </c>
      <c r="O70" s="295">
        <f>1090</f>
        <v>1090</v>
      </c>
      <c r="P70" s="291"/>
      <c r="Q70" s="291" t="s">
        <v>1300</v>
      </c>
      <c r="R70" s="293">
        <v>1</v>
      </c>
      <c r="S70" s="293">
        <v>2</v>
      </c>
      <c r="T70" s="293">
        <v>3</v>
      </c>
      <c r="U70" s="296">
        <v>500</v>
      </c>
      <c r="V70" s="298">
        <v>42241</v>
      </c>
      <c r="W70" s="291"/>
      <c r="X70" s="291" t="s">
        <v>1154</v>
      </c>
      <c r="Y70" s="291"/>
      <c r="Z70" s="291"/>
    </row>
    <row r="71" spans="1:26" s="143" customFormat="1" ht="13.2">
      <c r="A71" s="338" t="s">
        <v>1580</v>
      </c>
      <c r="B71" s="291" t="s">
        <v>1581</v>
      </c>
      <c r="C71" s="292">
        <v>42532</v>
      </c>
      <c r="D71" s="292">
        <v>42546</v>
      </c>
      <c r="E71" s="291" t="s">
        <v>1582</v>
      </c>
      <c r="F71" s="291"/>
      <c r="G71" s="293" t="s">
        <v>1583</v>
      </c>
      <c r="H71" s="291" t="s">
        <v>1584</v>
      </c>
      <c r="I71" s="291" t="s">
        <v>18</v>
      </c>
      <c r="J71" s="291" t="s">
        <v>51</v>
      </c>
      <c r="K71" s="291" t="s">
        <v>1585</v>
      </c>
      <c r="L71" s="291" t="s">
        <v>1586</v>
      </c>
      <c r="M71" s="291"/>
      <c r="N71" s="294" t="s">
        <v>1587</v>
      </c>
      <c r="O71" s="295">
        <v>2300</v>
      </c>
      <c r="P71" s="291"/>
      <c r="Q71" s="291" t="s">
        <v>1598</v>
      </c>
      <c r="R71" s="293">
        <v>2</v>
      </c>
      <c r="S71" s="293" t="s">
        <v>1598</v>
      </c>
      <c r="T71" s="293"/>
      <c r="U71" s="296">
        <v>575</v>
      </c>
      <c r="V71" s="298"/>
      <c r="W71" s="291"/>
      <c r="X71" s="291"/>
      <c r="Y71" s="291"/>
      <c r="Z71" s="291"/>
    </row>
    <row r="72" spans="1:26" s="143" customFormat="1" ht="13.2">
      <c r="A72" s="621" t="s">
        <v>1497</v>
      </c>
      <c r="B72" s="291" t="s">
        <v>1498</v>
      </c>
      <c r="C72" s="292">
        <v>42546</v>
      </c>
      <c r="D72" s="292">
        <v>42560</v>
      </c>
      <c r="E72" s="291" t="s">
        <v>1520</v>
      </c>
      <c r="F72" s="291"/>
      <c r="G72" s="293" t="s">
        <v>1521</v>
      </c>
      <c r="H72" s="291" t="s">
        <v>1522</v>
      </c>
      <c r="I72" s="291" t="s">
        <v>18</v>
      </c>
      <c r="J72" s="291" t="s">
        <v>51</v>
      </c>
      <c r="K72" s="291" t="s">
        <v>1523</v>
      </c>
      <c r="L72" s="291" t="s">
        <v>1524</v>
      </c>
      <c r="M72" s="291"/>
      <c r="N72" s="299" t="s">
        <v>1499</v>
      </c>
      <c r="O72" s="295">
        <f>1390+1790</f>
        <v>3180</v>
      </c>
      <c r="P72" s="291"/>
      <c r="Q72" s="291"/>
      <c r="R72" s="293">
        <v>2</v>
      </c>
      <c r="S72" s="293" t="s">
        <v>1500</v>
      </c>
      <c r="T72" s="293">
        <v>1</v>
      </c>
      <c r="U72" s="296">
        <f>O72/4</f>
        <v>795</v>
      </c>
      <c r="V72" s="298"/>
      <c r="W72" s="291"/>
      <c r="X72" s="291"/>
      <c r="Y72" s="291"/>
      <c r="Z72" s="291"/>
    </row>
    <row r="73" spans="1:26" s="143" customFormat="1" ht="13.2">
      <c r="A73" s="338" t="s">
        <v>1508</v>
      </c>
      <c r="B73" s="291" t="s">
        <v>1509</v>
      </c>
      <c r="C73" s="292">
        <v>42567</v>
      </c>
      <c r="D73" s="292">
        <v>42581</v>
      </c>
      <c r="E73" s="291" t="s">
        <v>1510</v>
      </c>
      <c r="F73" s="291"/>
      <c r="G73" s="293" t="s">
        <v>1511</v>
      </c>
      <c r="H73" s="291" t="s">
        <v>1512</v>
      </c>
      <c r="I73" s="291" t="s">
        <v>18</v>
      </c>
      <c r="J73" s="291" t="s">
        <v>51</v>
      </c>
      <c r="K73" s="291" t="s">
        <v>1513</v>
      </c>
      <c r="L73" s="291" t="s">
        <v>1514</v>
      </c>
      <c r="M73" s="291"/>
      <c r="N73" s="294" t="s">
        <v>1515</v>
      </c>
      <c r="O73" s="295">
        <f>1990*2+3*3*14</f>
        <v>4106</v>
      </c>
      <c r="P73" s="291"/>
      <c r="Q73" s="291" t="s">
        <v>1516</v>
      </c>
      <c r="R73" s="293">
        <v>2</v>
      </c>
      <c r="S73" s="293" t="s">
        <v>1517</v>
      </c>
      <c r="T73" s="293">
        <v>3</v>
      </c>
      <c r="U73" s="296">
        <f xml:space="preserve"> 995</f>
        <v>995</v>
      </c>
      <c r="V73" s="298"/>
      <c r="W73" s="291"/>
      <c r="X73" s="291"/>
      <c r="Y73" s="291"/>
      <c r="Z73" s="291"/>
    </row>
    <row r="74" spans="1:26" s="143" customFormat="1" ht="14.4" thickBot="1">
      <c r="A74" s="507" t="s">
        <v>1589</v>
      </c>
      <c r="B74" s="425" t="s">
        <v>1588</v>
      </c>
      <c r="C74" s="551">
        <v>42581</v>
      </c>
      <c r="D74" s="551">
        <v>42588</v>
      </c>
      <c r="E74" s="425"/>
      <c r="F74" s="425"/>
      <c r="G74" s="577"/>
      <c r="H74" s="425"/>
      <c r="I74" s="425" t="s">
        <v>18</v>
      </c>
      <c r="J74" s="425" t="s">
        <v>51</v>
      </c>
      <c r="K74" s="425"/>
      <c r="L74" s="667" t="s">
        <v>1593</v>
      </c>
      <c r="M74" s="425"/>
      <c r="N74" s="429" t="s">
        <v>1590</v>
      </c>
      <c r="O74" s="584">
        <f>2289-343.35</f>
        <v>1945.65</v>
      </c>
      <c r="P74" s="425"/>
      <c r="Q74" s="425" t="s">
        <v>1591</v>
      </c>
      <c r="R74" s="577">
        <v>1</v>
      </c>
      <c r="S74" s="577">
        <v>5</v>
      </c>
      <c r="T74" s="577">
        <v>2</v>
      </c>
      <c r="U74" s="606"/>
      <c r="V74" s="298">
        <v>42551</v>
      </c>
      <c r="W74" s="291" t="s">
        <v>1592</v>
      </c>
      <c r="X74" s="291" t="s">
        <v>1154</v>
      </c>
      <c r="Y74" s="291"/>
      <c r="Z74" s="291"/>
    </row>
    <row r="75" spans="1:26" ht="13.2">
      <c r="A75" s="617" t="s">
        <v>1596</v>
      </c>
      <c r="B75" s="302" t="s">
        <v>1597</v>
      </c>
      <c r="C75" s="303">
        <v>42609</v>
      </c>
      <c r="D75" s="303">
        <v>42616</v>
      </c>
      <c r="E75" s="302"/>
      <c r="F75" s="302"/>
      <c r="G75" s="304"/>
      <c r="H75" s="302"/>
      <c r="I75" s="302" t="s">
        <v>18</v>
      </c>
      <c r="J75" s="302" t="s">
        <v>51</v>
      </c>
      <c r="K75" s="302"/>
      <c r="L75" s="305" t="s">
        <v>1601</v>
      </c>
      <c r="M75" s="302"/>
      <c r="N75" s="306" t="s">
        <v>1615</v>
      </c>
      <c r="O75" s="307">
        <f xml:space="preserve"> 1505/1.15</f>
        <v>1308.6956521739132</v>
      </c>
      <c r="P75" s="302"/>
      <c r="Q75" s="302" t="s">
        <v>1614</v>
      </c>
      <c r="R75" s="304">
        <v>1</v>
      </c>
      <c r="S75" s="304">
        <v>3</v>
      </c>
      <c r="T75" s="304">
        <v>1</v>
      </c>
      <c r="U75" s="592"/>
      <c r="V75" s="308"/>
      <c r="W75" s="302" t="s">
        <v>1592</v>
      </c>
      <c r="X75" s="302"/>
      <c r="Y75" s="302"/>
      <c r="Z75" s="302"/>
    </row>
    <row r="76" spans="1:26" ht="13.8" thickBot="1">
      <c r="A76" s="338" t="s">
        <v>1619</v>
      </c>
      <c r="B76" s="291" t="s">
        <v>1602</v>
      </c>
      <c r="C76" s="292">
        <v>42616</v>
      </c>
      <c r="D76" s="292">
        <v>42623</v>
      </c>
      <c r="E76" s="291" t="s">
        <v>1608</v>
      </c>
      <c r="F76" s="291"/>
      <c r="G76" s="293" t="s">
        <v>1610</v>
      </c>
      <c r="H76" s="291" t="s">
        <v>1609</v>
      </c>
      <c r="I76" s="291" t="s">
        <v>18</v>
      </c>
      <c r="J76" s="291" t="s">
        <v>51</v>
      </c>
      <c r="K76" s="291" t="s">
        <v>1611</v>
      </c>
      <c r="L76" s="309" t="s">
        <v>1612</v>
      </c>
      <c r="M76" s="291"/>
      <c r="N76" s="294" t="s">
        <v>1613</v>
      </c>
      <c r="O76" s="295">
        <v>1390</v>
      </c>
      <c r="P76" s="291"/>
      <c r="Q76" s="291" t="s">
        <v>199</v>
      </c>
      <c r="R76" s="293">
        <v>1</v>
      </c>
      <c r="S76" s="293" t="s">
        <v>1616</v>
      </c>
      <c r="T76" s="293">
        <v>2</v>
      </c>
      <c r="U76" s="591">
        <v>347.5</v>
      </c>
      <c r="V76" s="298"/>
      <c r="W76" s="291"/>
      <c r="X76" s="291"/>
      <c r="Y76" s="291"/>
      <c r="Z76" s="291"/>
    </row>
    <row r="77" spans="1:26" ht="13.8" thickBot="1">
      <c r="A77" s="631" t="s">
        <v>1492</v>
      </c>
      <c r="B77" s="643" t="s">
        <v>264</v>
      </c>
      <c r="C77" s="311">
        <v>42616</v>
      </c>
      <c r="D77" s="659">
        <v>42630</v>
      </c>
      <c r="E77" s="643" t="s">
        <v>1491</v>
      </c>
      <c r="F77" s="310"/>
      <c r="G77" s="312" t="s">
        <v>1493</v>
      </c>
      <c r="H77" s="310" t="s">
        <v>187</v>
      </c>
      <c r="I77" s="310" t="s">
        <v>18</v>
      </c>
      <c r="J77" s="310" t="s">
        <v>51</v>
      </c>
      <c r="K77" s="313" t="s">
        <v>1494</v>
      </c>
      <c r="L77" s="313" t="s">
        <v>1495</v>
      </c>
      <c r="M77" s="310"/>
      <c r="N77" s="264"/>
      <c r="O77" s="314" t="s">
        <v>1566</v>
      </c>
      <c r="P77" s="310"/>
      <c r="Q77" s="310" t="s">
        <v>1666</v>
      </c>
      <c r="R77" s="312">
        <v>0</v>
      </c>
      <c r="S77" s="312" t="s">
        <v>1496</v>
      </c>
      <c r="T77" s="312">
        <v>2</v>
      </c>
      <c r="U77" s="601">
        <v>645</v>
      </c>
      <c r="V77" s="316">
        <v>42346</v>
      </c>
      <c r="W77" s="310" t="s">
        <v>1477</v>
      </c>
      <c r="X77" s="310" t="s">
        <v>1154</v>
      </c>
      <c r="Y77" s="310"/>
      <c r="Z77" s="310"/>
    </row>
    <row r="78" spans="1:26" ht="13.8" thickBot="1">
      <c r="A78" s="630" t="s">
        <v>1544</v>
      </c>
      <c r="B78" s="642" t="s">
        <v>1545</v>
      </c>
      <c r="C78" s="648">
        <v>42623</v>
      </c>
      <c r="D78" s="560">
        <v>42630</v>
      </c>
      <c r="E78" s="572" t="s">
        <v>1549</v>
      </c>
      <c r="F78" s="317"/>
      <c r="G78" s="319" t="s">
        <v>1550</v>
      </c>
      <c r="H78" s="317" t="s">
        <v>1551</v>
      </c>
      <c r="I78" s="317" t="s">
        <v>18</v>
      </c>
      <c r="J78" s="317" t="s">
        <v>51</v>
      </c>
      <c r="K78" s="317"/>
      <c r="L78" s="317" t="s">
        <v>1546</v>
      </c>
      <c r="M78" s="317"/>
      <c r="N78" s="320"/>
      <c r="O78" s="321">
        <f>(1190+1090+990)/4 +1190*3/4+9*7+70</f>
        <v>1843</v>
      </c>
      <c r="P78" s="317"/>
      <c r="Q78" s="317" t="s">
        <v>1548</v>
      </c>
      <c r="R78" s="319">
        <v>1</v>
      </c>
      <c r="S78" s="319" t="s">
        <v>1300</v>
      </c>
      <c r="T78" s="319">
        <v>3</v>
      </c>
      <c r="U78" s="599"/>
      <c r="V78" s="322">
        <v>42435</v>
      </c>
      <c r="W78" s="317"/>
      <c r="X78" s="317" t="s">
        <v>1154</v>
      </c>
      <c r="Y78" s="317"/>
      <c r="Z78" s="317"/>
    </row>
    <row r="79" spans="1:26" ht="13.8" thickBot="1">
      <c r="A79" s="302" t="s">
        <v>1621</v>
      </c>
      <c r="B79" s="302" t="s">
        <v>730</v>
      </c>
      <c r="C79" s="303">
        <v>42644</v>
      </c>
      <c r="D79" s="552">
        <v>42651</v>
      </c>
      <c r="E79" s="569"/>
      <c r="F79" s="302"/>
      <c r="G79" s="304"/>
      <c r="H79" s="302"/>
      <c r="I79" s="302" t="s">
        <v>18</v>
      </c>
      <c r="J79" s="302" t="s">
        <v>51</v>
      </c>
      <c r="K79" s="302"/>
      <c r="L79" s="323" t="s">
        <v>1622</v>
      </c>
      <c r="M79" s="302"/>
      <c r="N79" s="306"/>
      <c r="O79" s="307">
        <f>1120-168</f>
        <v>952</v>
      </c>
      <c r="P79" s="302"/>
      <c r="Q79" s="302"/>
      <c r="R79" s="304">
        <v>1</v>
      </c>
      <c r="S79" s="304" t="s">
        <v>1517</v>
      </c>
      <c r="T79" s="304">
        <v>0</v>
      </c>
      <c r="U79" s="592"/>
      <c r="V79" s="308"/>
      <c r="W79" s="302" t="s">
        <v>1592</v>
      </c>
      <c r="X79" s="302"/>
      <c r="Y79" s="302"/>
      <c r="Z79" s="302"/>
    </row>
    <row r="80" spans="1:26" ht="13.8" thickBot="1">
      <c r="A80" s="620" t="s">
        <v>1633</v>
      </c>
      <c r="B80" s="634" t="s">
        <v>1634</v>
      </c>
      <c r="C80" s="292">
        <v>42734</v>
      </c>
      <c r="D80" s="554">
        <v>42742</v>
      </c>
      <c r="E80" s="570" t="s">
        <v>1635</v>
      </c>
      <c r="F80" s="291"/>
      <c r="G80" s="293" t="s">
        <v>1636</v>
      </c>
      <c r="H80" s="291" t="s">
        <v>1637</v>
      </c>
      <c r="I80" s="291" t="s">
        <v>18</v>
      </c>
      <c r="J80" s="291" t="s">
        <v>51</v>
      </c>
      <c r="K80" s="291"/>
      <c r="L80" s="291" t="s">
        <v>1638</v>
      </c>
      <c r="M80" s="291"/>
      <c r="N80" s="294" t="s">
        <v>1639</v>
      </c>
      <c r="O80" s="295">
        <v>970</v>
      </c>
      <c r="P80" s="291"/>
      <c r="Q80" s="291" t="s">
        <v>1640</v>
      </c>
      <c r="R80" s="293">
        <v>1</v>
      </c>
      <c r="S80" s="293" t="s">
        <v>1343</v>
      </c>
      <c r="T80" s="293">
        <v>1</v>
      </c>
      <c r="U80" s="591">
        <v>250</v>
      </c>
      <c r="V80" s="298">
        <v>42716</v>
      </c>
      <c r="W80" s="291" t="s">
        <v>1641</v>
      </c>
      <c r="X80" s="291" t="s">
        <v>1217</v>
      </c>
      <c r="Y80" s="291"/>
      <c r="Z80" s="291"/>
    </row>
    <row r="81" spans="1:26" ht="13.8" thickBot="1">
      <c r="A81" s="291" t="s">
        <v>1653</v>
      </c>
      <c r="B81" s="291" t="s">
        <v>264</v>
      </c>
      <c r="C81" s="292">
        <v>42826</v>
      </c>
      <c r="D81" s="554">
        <v>42833</v>
      </c>
      <c r="E81" s="570" t="s">
        <v>1654</v>
      </c>
      <c r="F81" s="291"/>
      <c r="G81" s="293" t="s">
        <v>1655</v>
      </c>
      <c r="H81" s="291" t="s">
        <v>937</v>
      </c>
      <c r="I81" s="291" t="s">
        <v>18</v>
      </c>
      <c r="J81" s="291" t="s">
        <v>51</v>
      </c>
      <c r="K81" s="291" t="s">
        <v>1656</v>
      </c>
      <c r="L81" s="291" t="s">
        <v>1657</v>
      </c>
      <c r="M81" s="291"/>
      <c r="N81" s="612" t="s">
        <v>1652</v>
      </c>
      <c r="O81" s="615">
        <v>690</v>
      </c>
      <c r="P81" s="291"/>
      <c r="Q81" s="291"/>
      <c r="R81" s="293">
        <v>1</v>
      </c>
      <c r="S81" s="293">
        <v>2</v>
      </c>
      <c r="T81" s="293">
        <v>1</v>
      </c>
      <c r="U81" s="591">
        <v>177.25</v>
      </c>
      <c r="V81" s="298">
        <v>42712</v>
      </c>
      <c r="W81" s="291"/>
      <c r="X81" s="291"/>
      <c r="Y81" s="291"/>
      <c r="Z81" s="291"/>
    </row>
    <row r="82" spans="1:26" ht="13.8" thickBot="1">
      <c r="A82" s="626" t="s">
        <v>1698</v>
      </c>
      <c r="B82" s="639" t="s">
        <v>1696</v>
      </c>
      <c r="C82" s="303">
        <v>42847</v>
      </c>
      <c r="D82" s="657">
        <v>42854</v>
      </c>
      <c r="E82" s="665"/>
      <c r="F82" s="302"/>
      <c r="G82" s="304"/>
      <c r="H82" s="302" t="s">
        <v>18</v>
      </c>
      <c r="I82" s="302" t="s">
        <v>18</v>
      </c>
      <c r="J82" s="302"/>
      <c r="K82" s="302"/>
      <c r="L82" s="302" t="s">
        <v>1697</v>
      </c>
      <c r="M82" s="302"/>
      <c r="N82" s="306" t="s">
        <v>1743</v>
      </c>
      <c r="O82" s="307">
        <f>910-136.5+20+70</f>
        <v>863.5</v>
      </c>
      <c r="P82" s="302"/>
      <c r="Q82" s="302" t="s">
        <v>199</v>
      </c>
      <c r="R82" s="304">
        <v>1</v>
      </c>
      <c r="S82" s="304">
        <v>2</v>
      </c>
      <c r="T82" s="304">
        <v>1</v>
      </c>
      <c r="U82" s="592">
        <v>300</v>
      </c>
      <c r="V82" s="308">
        <v>42785</v>
      </c>
      <c r="W82" s="302" t="s">
        <v>1592</v>
      </c>
      <c r="X82" s="302"/>
      <c r="Y82" s="302"/>
      <c r="Z82" s="302"/>
    </row>
    <row r="83" spans="1:26" ht="13.8" thickBot="1">
      <c r="A83" s="507" t="s">
        <v>1730</v>
      </c>
      <c r="B83" s="528" t="s">
        <v>1731</v>
      </c>
      <c r="C83" s="292">
        <v>42868</v>
      </c>
      <c r="D83" s="555">
        <v>42882</v>
      </c>
      <c r="E83" s="528" t="s">
        <v>1732</v>
      </c>
      <c r="F83" s="291"/>
      <c r="G83" s="293" t="s">
        <v>1733</v>
      </c>
      <c r="H83" s="291"/>
      <c r="I83" s="291" t="s">
        <v>18</v>
      </c>
      <c r="J83" s="291" t="s">
        <v>51</v>
      </c>
      <c r="K83" s="291"/>
      <c r="L83" s="291" t="s">
        <v>1734</v>
      </c>
      <c r="M83" s="291"/>
      <c r="N83" s="294" t="s">
        <v>1735</v>
      </c>
      <c r="O83" s="295">
        <v>1400</v>
      </c>
      <c r="P83" s="291"/>
      <c r="Q83" s="291" t="s">
        <v>1736</v>
      </c>
      <c r="R83" s="293">
        <v>2</v>
      </c>
      <c r="S83" s="293">
        <v>2</v>
      </c>
      <c r="T83" s="293">
        <v>2</v>
      </c>
      <c r="U83" s="591">
        <v>347.5</v>
      </c>
      <c r="V83" s="298"/>
      <c r="W83" s="291"/>
      <c r="X83" s="291"/>
      <c r="Y83" s="291"/>
      <c r="Z83" s="291"/>
    </row>
    <row r="84" spans="1:26" ht="13.2">
      <c r="A84" s="291" t="s">
        <v>1738</v>
      </c>
      <c r="B84" s="291" t="s">
        <v>1739</v>
      </c>
      <c r="C84" s="292">
        <v>42896</v>
      </c>
      <c r="D84" s="292">
        <v>42903</v>
      </c>
      <c r="E84" s="291" t="s">
        <v>1740</v>
      </c>
      <c r="F84" s="291"/>
      <c r="G84" s="293"/>
      <c r="H84" s="291" t="s">
        <v>1741</v>
      </c>
      <c r="I84" s="291" t="s">
        <v>18</v>
      </c>
      <c r="J84" s="291" t="s">
        <v>1023</v>
      </c>
      <c r="K84" s="291"/>
      <c r="L84" s="291" t="s">
        <v>1742</v>
      </c>
      <c r="M84" s="291"/>
      <c r="N84" s="194" t="s">
        <v>1737</v>
      </c>
      <c r="O84" s="339">
        <f>1090 + 3*3*7</f>
        <v>1153</v>
      </c>
      <c r="P84" s="291"/>
      <c r="Q84" s="340" t="s">
        <v>1744</v>
      </c>
      <c r="R84" s="293">
        <v>1</v>
      </c>
      <c r="S84" s="293">
        <v>3</v>
      </c>
      <c r="T84" s="293">
        <v>3</v>
      </c>
      <c r="U84" s="594">
        <v>288.25</v>
      </c>
      <c r="V84" s="291"/>
      <c r="W84" s="291" t="s">
        <v>1651</v>
      </c>
      <c r="X84" s="291"/>
      <c r="Y84" s="291"/>
      <c r="Z84" s="291"/>
    </row>
    <row r="85" spans="1:26" ht="13.2">
      <c r="A85" s="291" t="s">
        <v>1642</v>
      </c>
      <c r="B85" s="291" t="s">
        <v>1643</v>
      </c>
      <c r="C85" s="292">
        <v>42903</v>
      </c>
      <c r="D85" s="292">
        <v>42917</v>
      </c>
      <c r="E85" s="291" t="s">
        <v>1644</v>
      </c>
      <c r="F85" s="291"/>
      <c r="G85" s="293" t="s">
        <v>1645</v>
      </c>
      <c r="H85" s="291" t="s">
        <v>1646</v>
      </c>
      <c r="I85" s="291" t="s">
        <v>18</v>
      </c>
      <c r="J85" s="291" t="s">
        <v>51</v>
      </c>
      <c r="K85" s="291" t="s">
        <v>1648</v>
      </c>
      <c r="L85" s="291" t="s">
        <v>1647</v>
      </c>
      <c r="M85" s="291"/>
      <c r="N85" s="294" t="s">
        <v>1649</v>
      </c>
      <c r="O85" s="295">
        <f>1190+1290</f>
        <v>2480</v>
      </c>
      <c r="P85" s="291"/>
      <c r="Q85" s="291"/>
      <c r="R85" s="293">
        <v>2</v>
      </c>
      <c r="S85" s="293" t="s">
        <v>1650</v>
      </c>
      <c r="T85" s="293">
        <v>2</v>
      </c>
      <c r="U85" s="591">
        <v>620</v>
      </c>
      <c r="V85" s="298">
        <v>42719</v>
      </c>
      <c r="W85" s="291" t="s">
        <v>1651</v>
      </c>
      <c r="X85" s="291" t="s">
        <v>1154</v>
      </c>
      <c r="Y85" s="291"/>
      <c r="Z85" s="291"/>
    </row>
    <row r="86" spans="1:26" ht="13.2">
      <c r="A86" s="291" t="s">
        <v>1745</v>
      </c>
      <c r="B86" s="291" t="s">
        <v>1746</v>
      </c>
      <c r="C86" s="292">
        <v>42917</v>
      </c>
      <c r="D86" s="292">
        <v>42924</v>
      </c>
      <c r="E86" s="291" t="s">
        <v>1747</v>
      </c>
      <c r="F86" s="291"/>
      <c r="G86" s="293" t="s">
        <v>1748</v>
      </c>
      <c r="H86" s="291" t="s">
        <v>1749</v>
      </c>
      <c r="I86" s="291" t="s">
        <v>18</v>
      </c>
      <c r="J86" s="291" t="s">
        <v>1023</v>
      </c>
      <c r="K86" s="291" t="s">
        <v>1770</v>
      </c>
      <c r="L86" s="291" t="s">
        <v>1750</v>
      </c>
      <c r="M86" s="291"/>
      <c r="N86" s="294" t="s">
        <v>1751</v>
      </c>
      <c r="O86" s="295">
        <v>1180</v>
      </c>
      <c r="P86" s="291"/>
      <c r="Q86" s="291" t="s">
        <v>1752</v>
      </c>
      <c r="R86" s="293">
        <v>1</v>
      </c>
      <c r="S86" s="293"/>
      <c r="T86" s="293">
        <v>1</v>
      </c>
      <c r="U86" s="591">
        <f>O86/4</f>
        <v>295</v>
      </c>
      <c r="V86" s="298"/>
      <c r="W86" s="291" t="s">
        <v>1651</v>
      </c>
      <c r="X86" s="291" t="s">
        <v>1217</v>
      </c>
      <c r="Y86" s="291"/>
      <c r="Z86" s="291"/>
    </row>
    <row r="87" spans="1:26" ht="13.2">
      <c r="A87" s="291" t="s">
        <v>1689</v>
      </c>
      <c r="B87" s="291" t="s">
        <v>1688</v>
      </c>
      <c r="C87" s="292">
        <v>42945</v>
      </c>
      <c r="D87" s="292">
        <v>42952</v>
      </c>
      <c r="E87" s="291" t="s">
        <v>1693</v>
      </c>
      <c r="F87" s="291"/>
      <c r="G87" s="293" t="s">
        <v>1695</v>
      </c>
      <c r="H87" s="291" t="s">
        <v>1694</v>
      </c>
      <c r="I87" s="291" t="s">
        <v>18</v>
      </c>
      <c r="J87" s="291" t="s">
        <v>51</v>
      </c>
      <c r="K87" s="291"/>
      <c r="L87" s="291" t="s">
        <v>1691</v>
      </c>
      <c r="M87" s="291"/>
      <c r="N87" s="294" t="s">
        <v>1690</v>
      </c>
      <c r="O87" s="295">
        <f>1990+70</f>
        <v>2060</v>
      </c>
      <c r="P87" s="291"/>
      <c r="Q87" s="291" t="s">
        <v>1692</v>
      </c>
      <c r="R87" s="293">
        <v>1</v>
      </c>
      <c r="S87" s="293">
        <v>2</v>
      </c>
      <c r="T87" s="293">
        <v>3</v>
      </c>
      <c r="U87" s="591">
        <v>513.25</v>
      </c>
      <c r="V87" s="298">
        <v>42785</v>
      </c>
      <c r="W87" s="291" t="s">
        <v>1651</v>
      </c>
      <c r="X87" s="291" t="s">
        <v>1154</v>
      </c>
      <c r="Y87" s="291"/>
      <c r="Z87" s="291"/>
    </row>
    <row r="88" spans="1:26" ht="10.95" customHeight="1">
      <c r="A88" s="291" t="s">
        <v>1706</v>
      </c>
      <c r="B88" s="291" t="s">
        <v>1707</v>
      </c>
      <c r="C88" s="292">
        <v>42952</v>
      </c>
      <c r="D88" s="292">
        <v>42966</v>
      </c>
      <c r="E88" s="291" t="s">
        <v>1708</v>
      </c>
      <c r="F88" s="291"/>
      <c r="G88" s="293" t="s">
        <v>1709</v>
      </c>
      <c r="H88" s="291" t="s">
        <v>187</v>
      </c>
      <c r="I88" s="291" t="s">
        <v>18</v>
      </c>
      <c r="J88" s="291" t="s">
        <v>51</v>
      </c>
      <c r="K88" s="291" t="s">
        <v>1710</v>
      </c>
      <c r="L88" s="291" t="s">
        <v>1711</v>
      </c>
      <c r="M88" s="291"/>
      <c r="N88" s="294" t="s">
        <v>1712</v>
      </c>
      <c r="O88" s="295">
        <f>1990*2</f>
        <v>3980</v>
      </c>
      <c r="P88" s="291"/>
      <c r="Q88" s="291" t="s">
        <v>1713</v>
      </c>
      <c r="R88" s="293">
        <v>2</v>
      </c>
      <c r="S88" s="293">
        <v>5</v>
      </c>
      <c r="T88" s="293">
        <v>1</v>
      </c>
      <c r="U88" s="591">
        <f>1990/2</f>
        <v>995</v>
      </c>
      <c r="V88" s="298">
        <v>42799</v>
      </c>
      <c r="W88" s="291" t="s">
        <v>1651</v>
      </c>
      <c r="X88" s="291" t="s">
        <v>1154</v>
      </c>
      <c r="Y88" s="291"/>
      <c r="Z88" s="291"/>
    </row>
    <row r="89" spans="1:26" s="219" customFormat="1" ht="13.2">
      <c r="A89" s="310" t="s">
        <v>1700</v>
      </c>
      <c r="B89" s="310" t="s">
        <v>1699</v>
      </c>
      <c r="C89" s="311">
        <v>42980</v>
      </c>
      <c r="D89" s="311">
        <v>42987</v>
      </c>
      <c r="E89" s="342" t="s">
        <v>1702</v>
      </c>
      <c r="F89" s="310"/>
      <c r="G89" s="312" t="s">
        <v>1704</v>
      </c>
      <c r="H89" s="310" t="s">
        <v>1703</v>
      </c>
      <c r="I89" s="310" t="s">
        <v>18</v>
      </c>
      <c r="J89" s="310" t="s">
        <v>51</v>
      </c>
      <c r="K89" s="310"/>
      <c r="L89" s="310" t="s">
        <v>1705</v>
      </c>
      <c r="M89" s="310"/>
      <c r="N89" s="343" t="s">
        <v>1701</v>
      </c>
      <c r="O89" s="314">
        <v>1390</v>
      </c>
      <c r="P89" s="310"/>
      <c r="Q89" s="310" t="s">
        <v>1729</v>
      </c>
      <c r="R89" s="312">
        <v>1</v>
      </c>
      <c r="S89" s="312">
        <v>2</v>
      </c>
      <c r="T89" s="312">
        <v>3</v>
      </c>
      <c r="U89" s="315">
        <v>347.5</v>
      </c>
      <c r="V89" s="316">
        <v>42795</v>
      </c>
      <c r="W89" s="310" t="s">
        <v>1651</v>
      </c>
      <c r="X89" s="310" t="s">
        <v>1154</v>
      </c>
      <c r="Y89" s="310"/>
      <c r="Z89" s="310"/>
    </row>
    <row r="90" spans="1:26" s="219" customFormat="1" ht="13.2">
      <c r="A90" s="310" t="s">
        <v>1492</v>
      </c>
      <c r="B90" s="310" t="s">
        <v>264</v>
      </c>
      <c r="C90" s="311">
        <v>42980</v>
      </c>
      <c r="D90" s="311">
        <v>42994</v>
      </c>
      <c r="E90" s="310" t="s">
        <v>1491</v>
      </c>
      <c r="F90" s="310"/>
      <c r="G90" s="312" t="s">
        <v>1493</v>
      </c>
      <c r="H90" s="310" t="s">
        <v>187</v>
      </c>
      <c r="I90" s="310" t="s">
        <v>18</v>
      </c>
      <c r="J90" s="310" t="s">
        <v>51</v>
      </c>
      <c r="K90" s="310" t="s">
        <v>1494</v>
      </c>
      <c r="L90" s="310" t="s">
        <v>1495</v>
      </c>
      <c r="M90" s="310"/>
      <c r="N90" s="344" t="s">
        <v>1566</v>
      </c>
      <c r="O90" s="310"/>
      <c r="P90" s="310"/>
      <c r="Q90" s="314">
        <f>U90*4</f>
        <v>2580</v>
      </c>
      <c r="R90" s="312">
        <v>0</v>
      </c>
      <c r="S90" s="312" t="s">
        <v>1496</v>
      </c>
      <c r="T90" s="312">
        <v>2</v>
      </c>
      <c r="U90" s="315">
        <v>645</v>
      </c>
      <c r="V90" s="310">
        <v>42346</v>
      </c>
      <c r="W90" s="310" t="s">
        <v>1477</v>
      </c>
      <c r="X90" s="310" t="s">
        <v>1154</v>
      </c>
      <c r="Y90" s="310"/>
      <c r="Z90" s="310"/>
    </row>
    <row r="91" spans="1:26" s="219" customFormat="1" ht="13.2">
      <c r="A91" s="291" t="s">
        <v>1715</v>
      </c>
      <c r="B91" s="291" t="s">
        <v>1714</v>
      </c>
      <c r="C91" s="292">
        <v>42987</v>
      </c>
      <c r="D91" s="292">
        <v>42994</v>
      </c>
      <c r="E91" s="291" t="s">
        <v>1716</v>
      </c>
      <c r="F91" s="291"/>
      <c r="G91" s="293" t="s">
        <v>1717</v>
      </c>
      <c r="H91" s="291" t="s">
        <v>1718</v>
      </c>
      <c r="I91" s="291" t="s">
        <v>18</v>
      </c>
      <c r="J91" s="291" t="s">
        <v>51</v>
      </c>
      <c r="K91" s="291" t="s">
        <v>1720</v>
      </c>
      <c r="L91" s="291"/>
      <c r="M91" s="291"/>
      <c r="N91" s="294" t="s">
        <v>1719</v>
      </c>
      <c r="O91" s="295">
        <v>1190</v>
      </c>
      <c r="P91" s="291"/>
      <c r="Q91" s="295"/>
      <c r="R91" s="293">
        <v>1</v>
      </c>
      <c r="S91" s="293" t="s">
        <v>1025</v>
      </c>
      <c r="T91" s="293">
        <v>1</v>
      </c>
      <c r="U91" s="296">
        <v>298</v>
      </c>
      <c r="V91" s="291">
        <v>42800</v>
      </c>
      <c r="W91" s="291" t="s">
        <v>1651</v>
      </c>
      <c r="X91" s="291" t="s">
        <v>1154</v>
      </c>
      <c r="Y91" s="291"/>
      <c r="Z91" s="291"/>
    </row>
    <row r="92" spans="1:26" s="219" customFormat="1" ht="13.2">
      <c r="A92" s="291" t="s">
        <v>1594</v>
      </c>
      <c r="B92" s="291" t="s">
        <v>1595</v>
      </c>
      <c r="C92" s="292">
        <v>42994</v>
      </c>
      <c r="D92" s="292">
        <v>43001</v>
      </c>
      <c r="E92" s="291"/>
      <c r="F92" s="291"/>
      <c r="G92" s="293"/>
      <c r="H92" s="291" t="s">
        <v>239</v>
      </c>
      <c r="I92" s="291" t="s">
        <v>18</v>
      </c>
      <c r="J92" s="291" t="s">
        <v>51</v>
      </c>
      <c r="K92" s="291"/>
      <c r="L92" s="291" t="s">
        <v>1617</v>
      </c>
      <c r="M92" s="291"/>
      <c r="N92" s="612"/>
      <c r="O92" s="615">
        <v>700</v>
      </c>
      <c r="P92" s="291"/>
      <c r="Q92" s="291" t="s">
        <v>1618</v>
      </c>
      <c r="R92" s="293">
        <v>1</v>
      </c>
      <c r="S92" s="293" t="s">
        <v>1401</v>
      </c>
      <c r="T92" s="293">
        <v>1</v>
      </c>
      <c r="U92" s="296" t="s">
        <v>1721</v>
      </c>
      <c r="V92" s="291"/>
      <c r="W92" s="291"/>
      <c r="X92" s="291"/>
      <c r="Y92" s="291"/>
      <c r="Z92" s="291"/>
    </row>
    <row r="93" spans="1:26" s="219" customFormat="1" ht="13.2">
      <c r="A93" s="291" t="s">
        <v>1778</v>
      </c>
      <c r="B93" s="291" t="s">
        <v>1779</v>
      </c>
      <c r="C93" s="292">
        <v>43008</v>
      </c>
      <c r="D93" s="292">
        <v>43022</v>
      </c>
      <c r="E93" s="291" t="s">
        <v>1780</v>
      </c>
      <c r="F93" s="291"/>
      <c r="G93" s="293" t="s">
        <v>1781</v>
      </c>
      <c r="H93" s="291" t="s">
        <v>1782</v>
      </c>
      <c r="I93" s="291" t="s">
        <v>18</v>
      </c>
      <c r="J93" s="291" t="s">
        <v>51</v>
      </c>
      <c r="K93" s="291" t="s">
        <v>1784</v>
      </c>
      <c r="L93" s="291" t="s">
        <v>1783</v>
      </c>
      <c r="M93" s="291"/>
      <c r="N93" s="294" t="s">
        <v>1785</v>
      </c>
      <c r="O93" s="295">
        <v>1680</v>
      </c>
      <c r="P93" s="291"/>
      <c r="Q93" s="291" t="s">
        <v>1786</v>
      </c>
      <c r="R93" s="293">
        <v>2</v>
      </c>
      <c r="S93" s="293">
        <v>2</v>
      </c>
      <c r="T93" s="293">
        <v>3</v>
      </c>
      <c r="U93" s="296">
        <v>420</v>
      </c>
      <c r="V93" s="291"/>
      <c r="W93" s="291" t="s">
        <v>1760</v>
      </c>
      <c r="X93" s="291"/>
      <c r="Y93" s="291"/>
      <c r="Z93" s="291"/>
    </row>
    <row r="94" spans="1:26" s="219" customFormat="1" ht="13.2">
      <c r="A94" s="115" t="s">
        <v>1810</v>
      </c>
      <c r="B94" s="291" t="s">
        <v>396</v>
      </c>
      <c r="C94" s="292">
        <v>43022</v>
      </c>
      <c r="D94" s="292">
        <v>43029</v>
      </c>
      <c r="E94" s="291" t="s">
        <v>1765</v>
      </c>
      <c r="F94" s="291"/>
      <c r="G94" s="293" t="s">
        <v>1766</v>
      </c>
      <c r="H94" s="291" t="s">
        <v>868</v>
      </c>
      <c r="I94" s="291" t="s">
        <v>18</v>
      </c>
      <c r="J94" s="291" t="s">
        <v>51</v>
      </c>
      <c r="K94" s="291"/>
      <c r="L94" s="291" t="s">
        <v>1767</v>
      </c>
      <c r="M94" s="291"/>
      <c r="N94" s="294" t="s">
        <v>1764</v>
      </c>
      <c r="O94" s="295">
        <f>690+80+70</f>
        <v>840</v>
      </c>
      <c r="P94" s="291"/>
      <c r="Q94" s="291" t="s">
        <v>1768</v>
      </c>
      <c r="R94" s="293">
        <v>1</v>
      </c>
      <c r="S94" s="293">
        <v>5</v>
      </c>
      <c r="T94" s="293">
        <v>1</v>
      </c>
      <c r="U94" s="296">
        <v>200</v>
      </c>
      <c r="V94" s="291">
        <v>42906</v>
      </c>
      <c r="W94" s="291" t="s">
        <v>1769</v>
      </c>
      <c r="X94" s="291" t="s">
        <v>1154</v>
      </c>
      <c r="Y94" s="291"/>
      <c r="Z94" s="291"/>
    </row>
    <row r="95" spans="1:26" s="219" customFormat="1" ht="13.2">
      <c r="A95" s="291" t="s">
        <v>527</v>
      </c>
      <c r="B95" s="291" t="s">
        <v>693</v>
      </c>
      <c r="C95" s="292">
        <v>43096</v>
      </c>
      <c r="D95" s="292">
        <v>42745</v>
      </c>
      <c r="E95" s="291" t="s">
        <v>1787</v>
      </c>
      <c r="F95" s="291"/>
      <c r="G95" s="293" t="s">
        <v>1788</v>
      </c>
      <c r="H95" s="291" t="s">
        <v>1789</v>
      </c>
      <c r="I95" s="291" t="s">
        <v>18</v>
      </c>
      <c r="J95" s="291" t="s">
        <v>51</v>
      </c>
      <c r="K95" s="291"/>
      <c r="L95" s="291" t="s">
        <v>1790</v>
      </c>
      <c r="M95" s="291"/>
      <c r="N95" s="294" t="s">
        <v>1791</v>
      </c>
      <c r="O95" s="295">
        <f>1090*2+21*2</f>
        <v>2222</v>
      </c>
      <c r="P95" s="291"/>
      <c r="Q95" s="291" t="s">
        <v>1025</v>
      </c>
      <c r="R95" s="293">
        <v>2</v>
      </c>
      <c r="S95" s="293">
        <v>2</v>
      </c>
      <c r="T95" s="293">
        <v>1</v>
      </c>
      <c r="U95" s="296">
        <v>556</v>
      </c>
      <c r="V95" s="291"/>
      <c r="W95" s="291" t="s">
        <v>1769</v>
      </c>
      <c r="X95" s="291"/>
      <c r="Y95" s="291"/>
      <c r="Z95" s="291"/>
    </row>
    <row r="96" spans="1:26" s="225" customFormat="1">
      <c r="A96" s="115" t="s">
        <v>1851</v>
      </c>
      <c r="B96" s="115" t="s">
        <v>1842</v>
      </c>
      <c r="C96" s="116">
        <v>43218</v>
      </c>
      <c r="D96" s="116">
        <v>43225</v>
      </c>
      <c r="E96" s="115" t="s">
        <v>1843</v>
      </c>
      <c r="F96" s="115"/>
      <c r="G96" s="361" t="s">
        <v>1844</v>
      </c>
      <c r="H96" s="364" t="s">
        <v>1845</v>
      </c>
      <c r="I96" s="115" t="s">
        <v>18</v>
      </c>
      <c r="J96" s="115" t="s">
        <v>51</v>
      </c>
      <c r="K96" s="115" t="s">
        <v>1846</v>
      </c>
      <c r="L96" s="124" t="s">
        <v>1847</v>
      </c>
      <c r="M96" s="115"/>
      <c r="N96" s="128" t="s">
        <v>1848</v>
      </c>
      <c r="O96" s="118">
        <f>790+21+70</f>
        <v>881</v>
      </c>
      <c r="P96" s="115"/>
      <c r="Q96" s="115" t="s">
        <v>1849</v>
      </c>
      <c r="R96" s="361">
        <v>1</v>
      </c>
      <c r="S96" s="361">
        <v>2</v>
      </c>
      <c r="T96" s="361">
        <v>1</v>
      </c>
      <c r="U96" s="119">
        <v>200</v>
      </c>
      <c r="V96" s="120">
        <v>43050</v>
      </c>
      <c r="W96" s="115" t="s">
        <v>1850</v>
      </c>
      <c r="X96" s="115" t="s">
        <v>1154</v>
      </c>
      <c r="Y96" s="115"/>
      <c r="Z96" s="115"/>
    </row>
    <row r="97" spans="1:26" s="219" customFormat="1">
      <c r="A97" s="115" t="s">
        <v>1852</v>
      </c>
      <c r="B97" s="115" t="s">
        <v>511</v>
      </c>
      <c r="C97" s="116">
        <v>43232</v>
      </c>
      <c r="D97" s="116">
        <v>43239</v>
      </c>
      <c r="E97" s="115" t="s">
        <v>1853</v>
      </c>
      <c r="F97" s="115"/>
      <c r="G97" s="361" t="s">
        <v>1854</v>
      </c>
      <c r="H97" s="364" t="s">
        <v>1855</v>
      </c>
      <c r="I97" s="115" t="s">
        <v>18</v>
      </c>
      <c r="J97" s="115" t="s">
        <v>51</v>
      </c>
      <c r="K97" s="115"/>
      <c r="L97" s="124" t="s">
        <v>1856</v>
      </c>
      <c r="M97" s="115"/>
      <c r="N97" s="128" t="s">
        <v>1857</v>
      </c>
      <c r="O97" s="118">
        <f>890+42+70</f>
        <v>1002</v>
      </c>
      <c r="P97" s="115"/>
      <c r="Q97" s="115" t="s">
        <v>1858</v>
      </c>
      <c r="R97" s="361">
        <v>1</v>
      </c>
      <c r="S97" s="361">
        <v>2</v>
      </c>
      <c r="T97" s="361">
        <v>2</v>
      </c>
      <c r="U97" s="119">
        <v>222.5</v>
      </c>
      <c r="V97" s="120">
        <v>43060</v>
      </c>
      <c r="W97" s="115" t="s">
        <v>1769</v>
      </c>
      <c r="X97" s="115" t="s">
        <v>1154</v>
      </c>
      <c r="Y97" s="115"/>
      <c r="Z97" s="115"/>
    </row>
    <row r="98" spans="1:26" s="219" customFormat="1" ht="13.2">
      <c r="A98" s="115" t="s">
        <v>1861</v>
      </c>
      <c r="B98" s="115" t="s">
        <v>1860</v>
      </c>
      <c r="C98" s="116">
        <v>43246</v>
      </c>
      <c r="D98" s="116">
        <v>43253</v>
      </c>
      <c r="E98" s="115" t="s">
        <v>1859</v>
      </c>
      <c r="F98" s="115"/>
      <c r="G98" s="361" t="s">
        <v>1863</v>
      </c>
      <c r="H98" s="364" t="s">
        <v>1862</v>
      </c>
      <c r="I98" s="115" t="s">
        <v>18</v>
      </c>
      <c r="J98" s="115" t="s">
        <v>51</v>
      </c>
      <c r="K98" s="115" t="s">
        <v>1864</v>
      </c>
      <c r="L98" s="124"/>
      <c r="M98" s="115"/>
      <c r="N98" s="121" t="s">
        <v>1865</v>
      </c>
      <c r="O98" s="118">
        <f>1090+70+21</f>
        <v>1181</v>
      </c>
      <c r="P98" s="115"/>
      <c r="Q98" s="115" t="s">
        <v>1922</v>
      </c>
      <c r="R98" s="361">
        <v>1</v>
      </c>
      <c r="S98" s="361" t="s">
        <v>1401</v>
      </c>
      <c r="T98" s="361">
        <v>3</v>
      </c>
      <c r="U98" s="119">
        <v>272.5</v>
      </c>
      <c r="V98" s="120"/>
      <c r="W98" s="115" t="s">
        <v>1769</v>
      </c>
      <c r="X98" s="115" t="s">
        <v>1154</v>
      </c>
      <c r="Y98" s="115"/>
      <c r="Z98" s="115"/>
    </row>
    <row r="99" spans="1:26" s="219" customFormat="1">
      <c r="A99" s="115" t="s">
        <v>1799</v>
      </c>
      <c r="B99" s="115" t="s">
        <v>1800</v>
      </c>
      <c r="C99" s="116">
        <v>43274</v>
      </c>
      <c r="D99" s="116">
        <v>43288</v>
      </c>
      <c r="E99" s="115" t="s">
        <v>1801</v>
      </c>
      <c r="F99" s="115"/>
      <c r="G99" s="361" t="s">
        <v>1802</v>
      </c>
      <c r="H99" s="115" t="s">
        <v>1803</v>
      </c>
      <c r="I99" s="115" t="s">
        <v>18</v>
      </c>
      <c r="J99" s="115" t="s">
        <v>51</v>
      </c>
      <c r="K99" s="115" t="s">
        <v>1805</v>
      </c>
      <c r="L99" s="115" t="s">
        <v>1804</v>
      </c>
      <c r="M99" s="115"/>
      <c r="N99" s="611" t="s">
        <v>1806</v>
      </c>
      <c r="O99" s="614">
        <f>1290+1390</f>
        <v>2680</v>
      </c>
      <c r="P99" s="115"/>
      <c r="Q99" s="115" t="s">
        <v>1807</v>
      </c>
      <c r="R99" s="361">
        <v>2</v>
      </c>
      <c r="S99" s="361">
        <v>4</v>
      </c>
      <c r="T99" s="361">
        <v>2</v>
      </c>
      <c r="U99" s="119"/>
      <c r="V99" s="120">
        <v>42997</v>
      </c>
      <c r="W99" s="115" t="s">
        <v>1651</v>
      </c>
      <c r="X99" s="115" t="s">
        <v>1154</v>
      </c>
      <c r="Y99" s="115"/>
      <c r="Z99" s="115"/>
    </row>
    <row r="100" spans="1:26" s="219" customFormat="1">
      <c r="A100" s="355" t="s">
        <v>1892</v>
      </c>
      <c r="B100" s="355" t="s">
        <v>406</v>
      </c>
      <c r="C100" s="357">
        <v>43309</v>
      </c>
      <c r="D100" s="357">
        <v>43316</v>
      </c>
      <c r="E100" s="355" t="s">
        <v>1893</v>
      </c>
      <c r="F100" s="355"/>
      <c r="G100" s="358" t="s">
        <v>1894</v>
      </c>
      <c r="H100" s="355" t="s">
        <v>1895</v>
      </c>
      <c r="I100" s="355" t="s">
        <v>18</v>
      </c>
      <c r="J100" s="355" t="s">
        <v>1023</v>
      </c>
      <c r="K100" s="355" t="s">
        <v>1896</v>
      </c>
      <c r="L100" s="355" t="s">
        <v>1897</v>
      </c>
      <c r="M100" s="355"/>
      <c r="N100" s="365" t="s">
        <v>1898</v>
      </c>
      <c r="O100" s="359">
        <f>1990+63</f>
        <v>2053</v>
      </c>
      <c r="P100" s="355"/>
      <c r="Q100" s="355" t="s">
        <v>1899</v>
      </c>
      <c r="R100" s="358">
        <v>1</v>
      </c>
      <c r="S100" s="358">
        <v>4</v>
      </c>
      <c r="T100" s="358">
        <v>3</v>
      </c>
      <c r="U100" s="356" t="s">
        <v>1932</v>
      </c>
      <c r="V100" s="360"/>
      <c r="W100" s="355"/>
      <c r="X100" s="355"/>
      <c r="Y100" s="355"/>
      <c r="Z100" s="355"/>
    </row>
    <row r="101" spans="1:26" s="143" customFormat="1">
      <c r="A101" s="355" t="s">
        <v>1653</v>
      </c>
      <c r="B101" s="355" t="s">
        <v>264</v>
      </c>
      <c r="C101" s="357">
        <v>43323</v>
      </c>
      <c r="D101" s="357">
        <v>43337</v>
      </c>
      <c r="E101" s="355" t="s">
        <v>1654</v>
      </c>
      <c r="F101" s="355"/>
      <c r="G101" s="358" t="s">
        <v>1655</v>
      </c>
      <c r="H101" s="355" t="s">
        <v>937</v>
      </c>
      <c r="I101" s="355" t="s">
        <v>18</v>
      </c>
      <c r="J101" s="355" t="s">
        <v>51</v>
      </c>
      <c r="K101" s="355" t="s">
        <v>1656</v>
      </c>
      <c r="L101" s="355" t="s">
        <v>1657</v>
      </c>
      <c r="M101" s="355"/>
      <c r="N101" s="365" t="s">
        <v>1652</v>
      </c>
      <c r="O101" s="359">
        <f xml:space="preserve"> 1990+1790+70</f>
        <v>3850</v>
      </c>
      <c r="P101" s="355"/>
      <c r="Q101" s="355"/>
      <c r="R101" s="358">
        <v>2</v>
      </c>
      <c r="S101" s="358">
        <v>2</v>
      </c>
      <c r="T101" s="358">
        <v>1</v>
      </c>
      <c r="U101" s="356" t="s">
        <v>1832</v>
      </c>
      <c r="V101" s="360">
        <v>42712</v>
      </c>
      <c r="W101" s="355" t="s">
        <v>1519</v>
      </c>
      <c r="X101" s="355" t="s">
        <v>1154</v>
      </c>
      <c r="Y101" s="355"/>
      <c r="Z101" s="355"/>
    </row>
    <row r="102" spans="1:26" s="143" customFormat="1">
      <c r="A102" s="115" t="s">
        <v>1022</v>
      </c>
      <c r="B102" s="115" t="s">
        <v>1815</v>
      </c>
      <c r="C102" s="116">
        <v>43344</v>
      </c>
      <c r="D102" s="116">
        <v>43358</v>
      </c>
      <c r="E102" s="115" t="s">
        <v>1816</v>
      </c>
      <c r="F102" s="115"/>
      <c r="G102" s="361" t="s">
        <v>1817</v>
      </c>
      <c r="H102" s="364" t="s">
        <v>1818</v>
      </c>
      <c r="I102" s="115" t="s">
        <v>18</v>
      </c>
      <c r="J102" s="115" t="s">
        <v>51</v>
      </c>
      <c r="K102" s="124" t="s">
        <v>1819</v>
      </c>
      <c r="L102" s="124" t="s">
        <v>1820</v>
      </c>
      <c r="M102" s="115"/>
      <c r="N102" s="128" t="s">
        <v>1020</v>
      </c>
      <c r="O102" s="118">
        <f>1390+1190+70+2*14*3</f>
        <v>2734</v>
      </c>
      <c r="P102" s="115"/>
      <c r="Q102" s="115" t="s">
        <v>1821</v>
      </c>
      <c r="R102" s="361">
        <v>2</v>
      </c>
      <c r="S102" s="361">
        <v>2</v>
      </c>
      <c r="T102" s="361">
        <v>2</v>
      </c>
      <c r="U102" s="119">
        <v>663</v>
      </c>
      <c r="V102" s="120">
        <v>43041</v>
      </c>
      <c r="W102" s="115"/>
      <c r="X102" s="115" t="s">
        <v>1154</v>
      </c>
      <c r="Y102" s="115"/>
      <c r="Z102" s="115"/>
    </row>
    <row r="103" spans="1:26" s="143" customFormat="1">
      <c r="A103" s="355" t="s">
        <v>1866</v>
      </c>
      <c r="B103" s="355" t="s">
        <v>1867</v>
      </c>
      <c r="C103" s="357">
        <v>43358</v>
      </c>
      <c r="D103" s="357">
        <v>43372</v>
      </c>
      <c r="E103" s="355" t="s">
        <v>1868</v>
      </c>
      <c r="F103" s="355"/>
      <c r="G103" s="358" t="s">
        <v>1869</v>
      </c>
      <c r="H103" s="367" t="s">
        <v>1870</v>
      </c>
      <c r="I103" s="355" t="s">
        <v>18</v>
      </c>
      <c r="J103" s="355" t="s">
        <v>51</v>
      </c>
      <c r="K103" s="368"/>
      <c r="L103" s="368" t="s">
        <v>1871</v>
      </c>
      <c r="M103" s="355"/>
      <c r="N103" s="365" t="s">
        <v>1872</v>
      </c>
      <c r="O103" s="359">
        <f>1090+1190+70+42</f>
        <v>2392</v>
      </c>
      <c r="P103" s="355"/>
      <c r="Q103" s="355" t="s">
        <v>1873</v>
      </c>
      <c r="R103" s="358">
        <v>2</v>
      </c>
      <c r="S103" s="358">
        <v>2</v>
      </c>
      <c r="T103" s="358">
        <v>1</v>
      </c>
      <c r="U103" s="356" t="s">
        <v>1832</v>
      </c>
      <c r="V103" s="360">
        <v>43074</v>
      </c>
      <c r="W103" s="355" t="s">
        <v>1477</v>
      </c>
      <c r="X103" s="355" t="s">
        <v>1154</v>
      </c>
      <c r="Y103" s="355"/>
      <c r="Z103" s="355"/>
    </row>
    <row r="104" spans="1:26" s="143" customFormat="1" ht="13.2">
      <c r="A104" s="355" t="s">
        <v>1961</v>
      </c>
      <c r="B104" s="355" t="s">
        <v>1962</v>
      </c>
      <c r="C104" s="357">
        <v>43372</v>
      </c>
      <c r="D104" s="357">
        <v>43379</v>
      </c>
      <c r="E104" s="355" t="s">
        <v>1963</v>
      </c>
      <c r="F104" s="355"/>
      <c r="G104" s="358" t="s">
        <v>1964</v>
      </c>
      <c r="H104" s="367" t="s">
        <v>1965</v>
      </c>
      <c r="I104" s="355" t="s">
        <v>18</v>
      </c>
      <c r="J104" s="355" t="s">
        <v>1023</v>
      </c>
      <c r="K104" s="368"/>
      <c r="L104" s="368" t="s">
        <v>1966</v>
      </c>
      <c r="M104" s="355"/>
      <c r="N104" s="401" t="s">
        <v>1967</v>
      </c>
      <c r="O104" s="359">
        <f>890+21+70</f>
        <v>981</v>
      </c>
      <c r="P104" s="355"/>
      <c r="Q104" s="355" t="s">
        <v>1968</v>
      </c>
      <c r="R104" s="358">
        <v>1</v>
      </c>
      <c r="S104" s="358">
        <v>2</v>
      </c>
      <c r="T104" s="358">
        <v>1</v>
      </c>
      <c r="U104" s="356" t="s">
        <v>1832</v>
      </c>
      <c r="V104" s="360">
        <v>43354</v>
      </c>
      <c r="W104" s="355" t="s">
        <v>1477</v>
      </c>
      <c r="X104" s="355" t="s">
        <v>1154</v>
      </c>
      <c r="Y104" s="355"/>
      <c r="Z104" s="355"/>
    </row>
    <row r="105" spans="1:26" s="143" customFormat="1" ht="13.2">
      <c r="A105" s="383" t="s">
        <v>1834</v>
      </c>
      <c r="B105" s="383" t="s">
        <v>1835</v>
      </c>
      <c r="C105" s="384">
        <v>43386</v>
      </c>
      <c r="D105" s="384">
        <v>43393</v>
      </c>
      <c r="E105" s="383" t="s">
        <v>1836</v>
      </c>
      <c r="F105" s="383"/>
      <c r="G105" s="385" t="s">
        <v>1837</v>
      </c>
      <c r="H105" s="386" t="s">
        <v>1838</v>
      </c>
      <c r="I105" s="383" t="s">
        <v>18</v>
      </c>
      <c r="J105" s="383" t="s">
        <v>51</v>
      </c>
      <c r="K105" s="383"/>
      <c r="L105" s="387" t="s">
        <v>1839</v>
      </c>
      <c r="M105" s="383"/>
      <c r="N105" s="388" t="s">
        <v>1840</v>
      </c>
      <c r="O105" s="389"/>
      <c r="P105" s="383"/>
      <c r="Q105" s="383" t="s">
        <v>1841</v>
      </c>
      <c r="R105" s="385"/>
      <c r="S105" s="385">
        <v>5</v>
      </c>
      <c r="T105" s="385">
        <v>2</v>
      </c>
      <c r="U105" s="609"/>
      <c r="V105" s="391">
        <v>43046</v>
      </c>
      <c r="W105" s="383"/>
      <c r="X105" s="383" t="s">
        <v>1154</v>
      </c>
      <c r="Y105" s="383"/>
      <c r="Z105" s="383"/>
    </row>
    <row r="106" spans="1:26" s="143" customFormat="1" ht="13.2">
      <c r="A106" s="408" t="s">
        <v>1923</v>
      </c>
      <c r="B106" s="408" t="s">
        <v>1924</v>
      </c>
      <c r="C106" s="409">
        <v>43387</v>
      </c>
      <c r="D106" s="409">
        <v>43400</v>
      </c>
      <c r="E106" s="408" t="s">
        <v>1925</v>
      </c>
      <c r="F106" s="408"/>
      <c r="G106" s="410" t="s">
        <v>1926</v>
      </c>
      <c r="H106" s="411" t="s">
        <v>1927</v>
      </c>
      <c r="I106" s="408" t="s">
        <v>18</v>
      </c>
      <c r="J106" s="408" t="s">
        <v>51</v>
      </c>
      <c r="K106" s="408" t="s">
        <v>1928</v>
      </c>
      <c r="L106" s="412" t="s">
        <v>1929</v>
      </c>
      <c r="M106" s="408"/>
      <c r="N106" s="413" t="s">
        <v>1930</v>
      </c>
      <c r="O106" s="414">
        <v>1380</v>
      </c>
      <c r="P106" s="408"/>
      <c r="Q106" s="408" t="s">
        <v>1931</v>
      </c>
      <c r="R106" s="410">
        <v>2</v>
      </c>
      <c r="S106" s="410">
        <v>3</v>
      </c>
      <c r="T106" s="410">
        <v>3</v>
      </c>
      <c r="U106" s="596" t="s">
        <v>1932</v>
      </c>
      <c r="V106" s="416">
        <v>43262</v>
      </c>
      <c r="W106" s="408" t="s">
        <v>1477</v>
      </c>
      <c r="X106" s="408" t="s">
        <v>1154</v>
      </c>
      <c r="Y106" s="408" t="s">
        <v>1980</v>
      </c>
      <c r="Z106" s="408"/>
    </row>
    <row r="107" spans="1:26" s="225" customFormat="1" ht="13.2">
      <c r="A107" s="372" t="s">
        <v>527</v>
      </c>
      <c r="B107" s="372" t="s">
        <v>693</v>
      </c>
      <c r="C107" s="373">
        <v>43460</v>
      </c>
      <c r="D107" s="373">
        <v>43474</v>
      </c>
      <c r="E107" s="372" t="s">
        <v>1787</v>
      </c>
      <c r="F107" s="372"/>
      <c r="G107" s="374" t="s">
        <v>1788</v>
      </c>
      <c r="H107" s="372" t="s">
        <v>1789</v>
      </c>
      <c r="I107" s="372" t="s">
        <v>18</v>
      </c>
      <c r="J107" s="372" t="s">
        <v>51</v>
      </c>
      <c r="K107" s="372"/>
      <c r="L107" s="372" t="s">
        <v>1790</v>
      </c>
      <c r="M107" s="372"/>
      <c r="N107" s="375" t="s">
        <v>1791</v>
      </c>
      <c r="O107" s="376">
        <f>1090*2</f>
        <v>2180</v>
      </c>
      <c r="P107" s="372"/>
      <c r="Q107" s="372" t="s">
        <v>1025</v>
      </c>
      <c r="R107" s="374">
        <v>2</v>
      </c>
      <c r="S107" s="374">
        <v>2</v>
      </c>
      <c r="T107" s="374">
        <v>1</v>
      </c>
      <c r="U107" s="478" t="s">
        <v>1920</v>
      </c>
      <c r="V107" s="372">
        <v>43180</v>
      </c>
      <c r="W107" s="372" t="s">
        <v>1769</v>
      </c>
      <c r="X107" s="355" t="s">
        <v>1154</v>
      </c>
      <c r="Y107" s="372"/>
      <c r="Z107" s="372"/>
    </row>
    <row r="108" spans="1:26" s="143" customFormat="1" ht="13.2">
      <c r="A108" s="355" t="s">
        <v>2008</v>
      </c>
      <c r="B108" s="355" t="s">
        <v>1588</v>
      </c>
      <c r="C108" s="357">
        <v>43561</v>
      </c>
      <c r="D108" s="357">
        <v>43575</v>
      </c>
      <c r="E108" s="355" t="s">
        <v>2009</v>
      </c>
      <c r="F108" s="355"/>
      <c r="G108" s="358" t="s">
        <v>2010</v>
      </c>
      <c r="H108" s="367" t="s">
        <v>2011</v>
      </c>
      <c r="I108" s="355" t="s">
        <v>18</v>
      </c>
      <c r="J108" s="355" t="s">
        <v>1023</v>
      </c>
      <c r="K108" s="355"/>
      <c r="L108" s="368" t="s">
        <v>2012</v>
      </c>
      <c r="M108" s="355"/>
      <c r="N108" s="401" t="s">
        <v>2013</v>
      </c>
      <c r="O108" s="359">
        <f>790*2</f>
        <v>1580</v>
      </c>
      <c r="P108" s="355"/>
      <c r="Q108" s="355" t="s">
        <v>2014</v>
      </c>
      <c r="R108" s="358">
        <v>2</v>
      </c>
      <c r="S108" s="358">
        <v>5</v>
      </c>
      <c r="T108" s="358">
        <v>1</v>
      </c>
      <c r="U108" s="478" t="s">
        <v>1154</v>
      </c>
      <c r="V108" s="360"/>
      <c r="W108" s="355"/>
      <c r="X108" s="355"/>
      <c r="Y108" s="355"/>
      <c r="Z108" s="355"/>
    </row>
    <row r="109" spans="1:26" ht="13.8" thickBot="1">
      <c r="A109" s="355" t="s">
        <v>527</v>
      </c>
      <c r="B109" s="355" t="s">
        <v>2223</v>
      </c>
      <c r="C109" s="357">
        <v>43582</v>
      </c>
      <c r="D109" s="357">
        <v>43596</v>
      </c>
      <c r="E109" s="355" t="s">
        <v>2224</v>
      </c>
      <c r="F109" s="355"/>
      <c r="G109" s="358" t="s">
        <v>2225</v>
      </c>
      <c r="H109" s="367" t="s">
        <v>2226</v>
      </c>
      <c r="I109" s="355" t="s">
        <v>18</v>
      </c>
      <c r="J109" s="355" t="s">
        <v>1023</v>
      </c>
      <c r="K109" s="355"/>
      <c r="L109" s="368" t="s">
        <v>2227</v>
      </c>
      <c r="M109" s="355"/>
      <c r="N109" s="401" t="s">
        <v>2228</v>
      </c>
      <c r="O109" s="359">
        <f xml:space="preserve"> 790+890</f>
        <v>1680</v>
      </c>
      <c r="P109" s="355"/>
      <c r="Q109" s="355" t="s">
        <v>2229</v>
      </c>
      <c r="R109" s="358">
        <v>2</v>
      </c>
      <c r="S109" s="358">
        <v>2</v>
      </c>
      <c r="T109" s="358">
        <v>3</v>
      </c>
      <c r="U109" s="478" t="s">
        <v>1832</v>
      </c>
      <c r="V109" s="360"/>
      <c r="W109" s="355"/>
      <c r="X109" s="355"/>
      <c r="Y109" s="355"/>
      <c r="Z109" s="355"/>
    </row>
    <row r="110" spans="1:26" ht="13.8" thickBot="1">
      <c r="A110" s="517" t="s">
        <v>2254</v>
      </c>
      <c r="B110" s="539" t="s">
        <v>2253</v>
      </c>
      <c r="C110" s="116">
        <v>43603</v>
      </c>
      <c r="D110" s="651">
        <v>43610</v>
      </c>
      <c r="E110" s="539" t="s">
        <v>2255</v>
      </c>
      <c r="F110" s="115"/>
      <c r="G110" s="361" t="s">
        <v>2256</v>
      </c>
      <c r="H110" s="364" t="s">
        <v>2257</v>
      </c>
      <c r="I110" s="115" t="s">
        <v>18</v>
      </c>
      <c r="J110" s="115" t="s">
        <v>19</v>
      </c>
      <c r="K110" s="115"/>
      <c r="L110" s="124" t="s">
        <v>2258</v>
      </c>
      <c r="M110" s="115"/>
      <c r="N110" s="121" t="s">
        <v>2259</v>
      </c>
      <c r="O110" s="118">
        <v>990</v>
      </c>
      <c r="P110" s="115"/>
      <c r="Q110" s="115" t="s">
        <v>2260</v>
      </c>
      <c r="R110" s="361">
        <v>1</v>
      </c>
      <c r="S110" s="361">
        <v>4</v>
      </c>
      <c r="T110" s="361">
        <v>1</v>
      </c>
      <c r="U110" s="598">
        <v>250</v>
      </c>
      <c r="V110" s="115">
        <v>43550</v>
      </c>
      <c r="W110" s="120" t="s">
        <v>1477</v>
      </c>
      <c r="X110" s="115"/>
      <c r="Y110" s="115"/>
      <c r="Z110" s="115"/>
    </row>
    <row r="111" spans="1:26" ht="13.8" thickBot="1">
      <c r="A111" s="625" t="s">
        <v>1982</v>
      </c>
      <c r="B111" s="637" t="s">
        <v>1983</v>
      </c>
      <c r="C111" s="647">
        <v>43231</v>
      </c>
      <c r="D111" s="655">
        <v>43245</v>
      </c>
      <c r="E111" s="664" t="s">
        <v>1984</v>
      </c>
      <c r="F111" s="451"/>
      <c r="G111" s="453" t="s">
        <v>1985</v>
      </c>
      <c r="H111" s="474" t="s">
        <v>1986</v>
      </c>
      <c r="I111" s="451" t="s">
        <v>18</v>
      </c>
      <c r="J111" s="451" t="s">
        <v>51</v>
      </c>
      <c r="K111" s="451"/>
      <c r="L111" s="475" t="s">
        <v>1987</v>
      </c>
      <c r="M111" s="451"/>
      <c r="N111" s="454" t="s">
        <v>1981</v>
      </c>
      <c r="O111" s="455"/>
      <c r="P111" s="451"/>
      <c r="Q111" s="451" t="s">
        <v>1988</v>
      </c>
      <c r="R111" s="453"/>
      <c r="S111" s="453">
        <v>4</v>
      </c>
      <c r="T111" s="453">
        <v>2</v>
      </c>
      <c r="U111" s="680"/>
      <c r="V111" s="456" t="s">
        <v>1989</v>
      </c>
      <c r="W111" s="451"/>
      <c r="X111" s="451"/>
      <c r="Y111" s="451"/>
      <c r="Z111" s="451"/>
    </row>
    <row r="112" spans="1:26" ht="10.8" thickBot="1">
      <c r="A112" s="115" t="s">
        <v>1669</v>
      </c>
      <c r="B112" s="115" t="s">
        <v>2201</v>
      </c>
      <c r="C112" s="116">
        <v>43617</v>
      </c>
      <c r="D112" s="561">
        <v>43624</v>
      </c>
      <c r="E112" s="543" t="s">
        <v>2202</v>
      </c>
      <c r="F112" s="115"/>
      <c r="G112" s="361" t="s">
        <v>2203</v>
      </c>
      <c r="H112" s="115" t="s">
        <v>2204</v>
      </c>
      <c r="I112" s="115" t="s">
        <v>18</v>
      </c>
      <c r="J112" s="115" t="s">
        <v>1023</v>
      </c>
      <c r="K112" s="115"/>
      <c r="L112" s="115" t="s">
        <v>2205</v>
      </c>
      <c r="M112" s="115"/>
      <c r="N112" s="363"/>
      <c r="O112" s="118">
        <v>1090</v>
      </c>
      <c r="P112" s="115"/>
      <c r="Q112" s="115" t="s">
        <v>600</v>
      </c>
      <c r="R112" s="361">
        <v>1</v>
      </c>
      <c r="S112" s="361">
        <v>3</v>
      </c>
      <c r="T112" s="361">
        <v>1</v>
      </c>
      <c r="U112" s="598"/>
      <c r="V112" s="115">
        <v>43486</v>
      </c>
      <c r="W112" s="120" t="s">
        <v>2206</v>
      </c>
      <c r="X112" s="115" t="s">
        <v>1154</v>
      </c>
      <c r="Y112" s="115"/>
      <c r="Z112" s="115"/>
    </row>
    <row r="113" spans="1:26" ht="13.8" thickBot="1">
      <c r="A113" s="618" t="s">
        <v>2026</v>
      </c>
      <c r="B113" s="633" t="s">
        <v>1953</v>
      </c>
      <c r="C113" s="357">
        <v>43624</v>
      </c>
      <c r="D113" s="565">
        <v>43638</v>
      </c>
      <c r="E113" s="576" t="s">
        <v>1954</v>
      </c>
      <c r="F113" s="355"/>
      <c r="G113" s="358" t="s">
        <v>1955</v>
      </c>
      <c r="H113" s="355" t="s">
        <v>1956</v>
      </c>
      <c r="I113" s="355" t="s">
        <v>18</v>
      </c>
      <c r="J113" s="355" t="s">
        <v>1023</v>
      </c>
      <c r="K113" s="355" t="s">
        <v>1957</v>
      </c>
      <c r="L113" s="355" t="s">
        <v>1958</v>
      </c>
      <c r="M113" s="355"/>
      <c r="N113" s="401" t="s">
        <v>1959</v>
      </c>
      <c r="O113" s="359">
        <f>1090+1190</f>
        <v>2280</v>
      </c>
      <c r="P113" s="355"/>
      <c r="Q113" s="355" t="s">
        <v>599</v>
      </c>
      <c r="R113" s="358">
        <v>2</v>
      </c>
      <c r="S113" s="358">
        <v>2</v>
      </c>
      <c r="T113" s="358">
        <v>2</v>
      </c>
      <c r="U113" s="478" t="s">
        <v>1960</v>
      </c>
      <c r="V113" s="360"/>
      <c r="W113" s="355"/>
      <c r="X113" s="355"/>
      <c r="Y113" s="355"/>
      <c r="Z113" s="355"/>
    </row>
    <row r="114" spans="1:26" ht="13.8" thickBot="1">
      <c r="A114" s="355" t="s">
        <v>2232</v>
      </c>
      <c r="B114" s="355" t="s">
        <v>2233</v>
      </c>
      <c r="C114" s="357">
        <v>43638</v>
      </c>
      <c r="D114" s="565">
        <v>43645</v>
      </c>
      <c r="E114" s="576" t="s">
        <v>2234</v>
      </c>
      <c r="F114" s="355"/>
      <c r="G114" s="358" t="s">
        <v>2235</v>
      </c>
      <c r="H114" s="355" t="s">
        <v>2236</v>
      </c>
      <c r="I114" s="355" t="s">
        <v>18</v>
      </c>
      <c r="J114" s="355" t="s">
        <v>1023</v>
      </c>
      <c r="K114" s="355"/>
      <c r="L114" s="401" t="s">
        <v>2237</v>
      </c>
      <c r="M114" s="355"/>
      <c r="N114" s="401" t="s">
        <v>2238</v>
      </c>
      <c r="O114" s="359">
        <v>1290</v>
      </c>
      <c r="P114" s="355"/>
      <c r="Q114" s="355">
        <v>1</v>
      </c>
      <c r="R114" s="358">
        <v>1</v>
      </c>
      <c r="S114" s="358">
        <v>2</v>
      </c>
      <c r="T114" s="358">
        <v>1</v>
      </c>
      <c r="U114" s="478" t="s">
        <v>2239</v>
      </c>
      <c r="V114" s="360"/>
      <c r="W114" s="355"/>
      <c r="X114" s="355"/>
      <c r="Y114" s="355"/>
      <c r="Z114" s="355"/>
    </row>
    <row r="115" spans="1:26" ht="13.8" thickBot="1">
      <c r="A115" s="517" t="s">
        <v>1937</v>
      </c>
      <c r="B115" s="539" t="s">
        <v>1938</v>
      </c>
      <c r="C115" s="116">
        <v>43645</v>
      </c>
      <c r="D115" s="568">
        <v>43659</v>
      </c>
      <c r="E115" s="535" t="s">
        <v>1939</v>
      </c>
      <c r="F115" s="115"/>
      <c r="G115" s="361" t="s">
        <v>1940</v>
      </c>
      <c r="H115" s="115" t="s">
        <v>1941</v>
      </c>
      <c r="I115" s="364" t="s">
        <v>18</v>
      </c>
      <c r="J115" s="115" t="s">
        <v>51</v>
      </c>
      <c r="K115" s="115"/>
      <c r="L115" s="115" t="s">
        <v>1942</v>
      </c>
      <c r="M115" s="115"/>
      <c r="N115" s="121" t="s">
        <v>1943</v>
      </c>
      <c r="O115" s="118">
        <f>1390+1590</f>
        <v>2980</v>
      </c>
      <c r="P115" s="115"/>
      <c r="Q115" s="115" t="s">
        <v>599</v>
      </c>
      <c r="R115" s="361">
        <v>2</v>
      </c>
      <c r="S115" s="361" t="s">
        <v>1944</v>
      </c>
      <c r="T115" s="361">
        <v>2</v>
      </c>
      <c r="U115" s="598" t="s">
        <v>2025</v>
      </c>
      <c r="V115" s="120"/>
      <c r="W115" s="115"/>
      <c r="X115" s="115"/>
      <c r="Y115" s="115"/>
      <c r="Z115" s="115"/>
    </row>
    <row r="116" spans="1:26" ht="13.8" thickBot="1">
      <c r="A116" s="511" t="s">
        <v>1946</v>
      </c>
      <c r="B116" s="535" t="s">
        <v>1947</v>
      </c>
      <c r="C116" s="116">
        <v>43659</v>
      </c>
      <c r="D116" s="568">
        <v>43673</v>
      </c>
      <c r="E116" s="535" t="s">
        <v>1948</v>
      </c>
      <c r="F116" s="115"/>
      <c r="G116" s="361" t="s">
        <v>1949</v>
      </c>
      <c r="H116" s="115" t="s">
        <v>1950</v>
      </c>
      <c r="I116" s="115" t="s">
        <v>18</v>
      </c>
      <c r="J116" s="115" t="s">
        <v>1023</v>
      </c>
      <c r="K116" s="115"/>
      <c r="L116" s="115" t="s">
        <v>1951</v>
      </c>
      <c r="M116" s="115"/>
      <c r="N116" s="121" t="s">
        <v>1952</v>
      </c>
      <c r="O116" s="118">
        <v>3980</v>
      </c>
      <c r="P116" s="115"/>
      <c r="Q116" s="115" t="s">
        <v>600</v>
      </c>
      <c r="R116" s="361">
        <v>2</v>
      </c>
      <c r="S116" s="361">
        <v>6</v>
      </c>
      <c r="T116" s="361">
        <v>1</v>
      </c>
      <c r="U116" s="598">
        <v>995</v>
      </c>
      <c r="V116" s="120"/>
      <c r="W116" s="115"/>
      <c r="X116" s="115"/>
      <c r="Y116" s="115"/>
      <c r="Z116" s="115"/>
    </row>
    <row r="117" spans="1:26" ht="13.2">
      <c r="A117" s="355" t="s">
        <v>2355</v>
      </c>
      <c r="B117" s="355" t="s">
        <v>2356</v>
      </c>
      <c r="C117" s="357">
        <v>43708</v>
      </c>
      <c r="D117" s="357">
        <v>43715</v>
      </c>
      <c r="E117" s="355" t="s">
        <v>2357</v>
      </c>
      <c r="F117" s="355"/>
      <c r="G117" s="358" t="s">
        <v>2358</v>
      </c>
      <c r="H117" s="355" t="s">
        <v>2359</v>
      </c>
      <c r="I117" s="355" t="s">
        <v>18</v>
      </c>
      <c r="J117" s="355" t="s">
        <v>1023</v>
      </c>
      <c r="K117" s="355"/>
      <c r="L117" s="355" t="s">
        <v>2360</v>
      </c>
      <c r="M117" s="355"/>
      <c r="N117" s="401" t="s">
        <v>2361</v>
      </c>
      <c r="O117" s="359">
        <f>1100+70+63</f>
        <v>1233</v>
      </c>
      <c r="P117" s="355"/>
      <c r="Q117" s="355" t="s">
        <v>2362</v>
      </c>
      <c r="R117" s="358">
        <v>1</v>
      </c>
      <c r="S117" s="358">
        <v>2</v>
      </c>
      <c r="T117" s="358">
        <v>3</v>
      </c>
      <c r="U117" s="478" t="s">
        <v>1154</v>
      </c>
      <c r="V117" s="360">
        <v>43703</v>
      </c>
      <c r="W117" s="355" t="s">
        <v>1477</v>
      </c>
      <c r="X117" s="355"/>
      <c r="Y117" s="355"/>
      <c r="Z117" s="355"/>
    </row>
    <row r="118" spans="1:26" ht="13.2">
      <c r="A118" s="115" t="s">
        <v>2016</v>
      </c>
      <c r="B118" s="291" t="s">
        <v>2017</v>
      </c>
      <c r="C118" s="116">
        <v>43715</v>
      </c>
      <c r="D118" s="116">
        <v>43729</v>
      </c>
      <c r="E118" s="115" t="s">
        <v>2018</v>
      </c>
      <c r="F118" s="291"/>
      <c r="G118" s="361" t="s">
        <v>2019</v>
      </c>
      <c r="H118" s="115" t="s">
        <v>2020</v>
      </c>
      <c r="I118" s="115" t="s">
        <v>18</v>
      </c>
      <c r="J118" s="115" t="s">
        <v>1023</v>
      </c>
      <c r="K118" s="291"/>
      <c r="L118" s="115" t="s">
        <v>2021</v>
      </c>
      <c r="M118" s="291"/>
      <c r="N118" s="121" t="s">
        <v>2022</v>
      </c>
      <c r="O118" s="295">
        <f>1290+1390</f>
        <v>2680</v>
      </c>
      <c r="P118" s="291"/>
      <c r="Q118" s="115" t="s">
        <v>2023</v>
      </c>
      <c r="R118" s="293">
        <v>2</v>
      </c>
      <c r="S118" s="293">
        <v>2</v>
      </c>
      <c r="T118" s="293">
        <v>2</v>
      </c>
      <c r="U118" s="598" t="s">
        <v>2024</v>
      </c>
      <c r="V118" s="298">
        <v>43410</v>
      </c>
      <c r="W118" s="115"/>
      <c r="X118" s="291"/>
      <c r="Y118" s="291"/>
      <c r="Z118" s="291"/>
    </row>
    <row r="119" spans="1:26" ht="58.95" customHeight="1">
      <c r="A119" s="497" t="s">
        <v>2332</v>
      </c>
      <c r="B119" s="355" t="s">
        <v>2333</v>
      </c>
      <c r="C119" s="357">
        <v>43729</v>
      </c>
      <c r="D119" s="357">
        <v>43736</v>
      </c>
      <c r="E119" s="355" t="s">
        <v>2334</v>
      </c>
      <c r="F119" s="355"/>
      <c r="G119" s="358" t="s">
        <v>2335</v>
      </c>
      <c r="H119" s="355" t="s">
        <v>2336</v>
      </c>
      <c r="I119" s="355" t="s">
        <v>18</v>
      </c>
      <c r="J119" s="355" t="s">
        <v>51</v>
      </c>
      <c r="K119" s="355" t="s">
        <v>2338</v>
      </c>
      <c r="L119" s="355" t="s">
        <v>2337</v>
      </c>
      <c r="M119" s="355"/>
      <c r="N119" s="365" t="s">
        <v>2331</v>
      </c>
      <c r="O119" s="359">
        <v>1190</v>
      </c>
      <c r="P119" s="355"/>
      <c r="Q119" s="355" t="s">
        <v>2023</v>
      </c>
      <c r="R119" s="358">
        <v>1</v>
      </c>
      <c r="S119" s="358">
        <v>2</v>
      </c>
      <c r="T119" s="358">
        <v>2</v>
      </c>
      <c r="U119" s="478" t="s">
        <v>2339</v>
      </c>
      <c r="V119" s="360">
        <v>43702</v>
      </c>
      <c r="W119" s="355" t="s">
        <v>1477</v>
      </c>
      <c r="X119" s="355"/>
      <c r="Y119" s="355"/>
      <c r="Z119" s="355"/>
    </row>
    <row r="120" spans="1:26" ht="13.2">
      <c r="A120" s="498" t="s">
        <v>2179</v>
      </c>
      <c r="B120" s="498" t="s">
        <v>2180</v>
      </c>
      <c r="C120" s="499">
        <v>43736</v>
      </c>
      <c r="D120" s="499">
        <v>43743</v>
      </c>
      <c r="E120" s="498" t="s">
        <v>2181</v>
      </c>
      <c r="F120" s="498"/>
      <c r="G120" s="500" t="s">
        <v>1992</v>
      </c>
      <c r="H120" s="498"/>
      <c r="I120" s="498" t="s">
        <v>18</v>
      </c>
      <c r="J120" s="498" t="s">
        <v>1023</v>
      </c>
      <c r="K120" s="498"/>
      <c r="L120" s="498" t="s">
        <v>2182</v>
      </c>
      <c r="M120" s="498"/>
      <c r="N120" s="501" t="s">
        <v>2183</v>
      </c>
      <c r="O120" s="502">
        <f>990+42</f>
        <v>1032</v>
      </c>
      <c r="P120" s="498"/>
      <c r="Q120" s="498" t="s">
        <v>2372</v>
      </c>
      <c r="R120" s="500">
        <v>1</v>
      </c>
      <c r="S120" s="500">
        <v>2</v>
      </c>
      <c r="T120" s="500">
        <v>2</v>
      </c>
      <c r="U120" s="670" t="s">
        <v>2354</v>
      </c>
      <c r="V120" s="504">
        <v>43461</v>
      </c>
      <c r="W120" s="498"/>
      <c r="X120" s="498"/>
      <c r="Y120" s="498"/>
      <c r="Z120" s="498"/>
    </row>
    <row r="121" spans="1:26" s="143" customFormat="1" ht="13.2">
      <c r="A121" s="115" t="s">
        <v>2215</v>
      </c>
      <c r="B121" s="115" t="s">
        <v>2216</v>
      </c>
      <c r="C121" s="116">
        <v>43743</v>
      </c>
      <c r="D121" s="116">
        <v>43750</v>
      </c>
      <c r="E121" s="115" t="s">
        <v>2217</v>
      </c>
      <c r="F121" s="115"/>
      <c r="G121" s="361" t="s">
        <v>2218</v>
      </c>
      <c r="H121" s="115" t="s">
        <v>2219</v>
      </c>
      <c r="I121" s="115" t="s">
        <v>18</v>
      </c>
      <c r="J121" s="115" t="s">
        <v>51</v>
      </c>
      <c r="K121" s="115"/>
      <c r="L121" s="115" t="s">
        <v>2220</v>
      </c>
      <c r="M121" s="115"/>
      <c r="N121" s="121" t="s">
        <v>2221</v>
      </c>
      <c r="O121" s="118">
        <v>890</v>
      </c>
      <c r="P121" s="115"/>
      <c r="Q121" s="115" t="s">
        <v>2222</v>
      </c>
      <c r="R121" s="361">
        <v>1</v>
      </c>
      <c r="S121" s="361">
        <v>6</v>
      </c>
      <c r="T121" s="361">
        <v>2</v>
      </c>
      <c r="U121" s="119"/>
      <c r="V121" s="120"/>
      <c r="W121" s="115"/>
      <c r="X121" s="115"/>
      <c r="Y121" s="115"/>
      <c r="Z121" s="115"/>
    </row>
    <row r="122" spans="1:26" s="143" customFormat="1" ht="13.2">
      <c r="A122" s="115" t="s">
        <v>1996</v>
      </c>
      <c r="B122" s="115" t="s">
        <v>1990</v>
      </c>
      <c r="C122" s="116">
        <v>43757</v>
      </c>
      <c r="D122" s="116">
        <v>43764</v>
      </c>
      <c r="E122" s="115" t="s">
        <v>1991</v>
      </c>
      <c r="F122" s="115"/>
      <c r="G122" s="361" t="s">
        <v>1992</v>
      </c>
      <c r="H122" s="115" t="s">
        <v>1993</v>
      </c>
      <c r="I122" s="115" t="s">
        <v>18</v>
      </c>
      <c r="J122" s="115" t="s">
        <v>51</v>
      </c>
      <c r="K122" s="115"/>
      <c r="L122" s="115" t="s">
        <v>1994</v>
      </c>
      <c r="M122" s="115"/>
      <c r="N122" s="121" t="s">
        <v>1995</v>
      </c>
      <c r="O122" s="118">
        <v>690</v>
      </c>
      <c r="P122" s="115"/>
      <c r="Q122" s="115" t="s">
        <v>1500</v>
      </c>
      <c r="R122" s="361">
        <v>1</v>
      </c>
      <c r="S122" s="361">
        <v>2</v>
      </c>
      <c r="T122" s="361">
        <v>1</v>
      </c>
      <c r="U122" s="119">
        <v>172.5</v>
      </c>
      <c r="V122" s="120" t="s">
        <v>2318</v>
      </c>
      <c r="W122" s="115"/>
      <c r="X122" s="115"/>
      <c r="Y122" s="115"/>
      <c r="Z122" s="115"/>
    </row>
    <row r="123" spans="1:26" s="143" customFormat="1">
      <c r="A123" s="139" t="s">
        <v>269</v>
      </c>
      <c r="B123" s="139" t="s">
        <v>268</v>
      </c>
      <c r="C123" s="352">
        <v>38430</v>
      </c>
      <c r="D123" s="352">
        <v>38444</v>
      </c>
      <c r="E123" s="139" t="s">
        <v>320</v>
      </c>
      <c r="F123" s="139"/>
      <c r="G123" s="140">
        <v>46342</v>
      </c>
      <c r="H123" s="139" t="s">
        <v>321</v>
      </c>
      <c r="I123" s="139" t="s">
        <v>18</v>
      </c>
      <c r="J123" s="139" t="s">
        <v>51</v>
      </c>
      <c r="K123" s="139" t="s">
        <v>322</v>
      </c>
      <c r="L123" s="139" t="s">
        <v>323</v>
      </c>
      <c r="M123" s="139"/>
      <c r="N123" s="156" t="s">
        <v>270</v>
      </c>
      <c r="O123" s="157">
        <f>460*2</f>
        <v>920</v>
      </c>
      <c r="P123" s="139"/>
      <c r="Q123" s="139"/>
      <c r="R123" s="140">
        <v>2</v>
      </c>
      <c r="S123" s="140">
        <v>2</v>
      </c>
      <c r="T123" s="140">
        <v>2</v>
      </c>
      <c r="U123" s="185" t="s">
        <v>232</v>
      </c>
      <c r="V123" s="139"/>
      <c r="W123" s="139"/>
      <c r="X123" s="139"/>
      <c r="Y123" s="139"/>
      <c r="Z123" s="139"/>
    </row>
    <row r="124" spans="1:26" s="143" customFormat="1">
      <c r="A124" s="139" t="s">
        <v>193</v>
      </c>
      <c r="B124" s="139"/>
      <c r="C124" s="352">
        <v>38493</v>
      </c>
      <c r="D124" s="352">
        <v>38507</v>
      </c>
      <c r="E124" s="139" t="s">
        <v>194</v>
      </c>
      <c r="F124" s="139"/>
      <c r="G124" s="140" t="s">
        <v>195</v>
      </c>
      <c r="H124" s="139" t="s">
        <v>196</v>
      </c>
      <c r="I124" s="139" t="s">
        <v>18</v>
      </c>
      <c r="J124" s="139" t="s">
        <v>51</v>
      </c>
      <c r="K124" s="139"/>
      <c r="L124" s="139" t="s">
        <v>233</v>
      </c>
      <c r="M124" s="139"/>
      <c r="N124" s="156" t="s">
        <v>197</v>
      </c>
      <c r="O124" s="157">
        <f>460+520</f>
        <v>980</v>
      </c>
      <c r="P124" s="139"/>
      <c r="Q124" s="139"/>
      <c r="R124" s="140">
        <v>2</v>
      </c>
      <c r="S124" s="140" t="s">
        <v>199</v>
      </c>
      <c r="T124" s="140"/>
      <c r="U124" s="185" t="s">
        <v>232</v>
      </c>
      <c r="V124" s="139"/>
      <c r="W124" s="139"/>
      <c r="X124" s="139"/>
      <c r="Y124" s="139"/>
      <c r="Z124" s="139"/>
    </row>
    <row r="125" spans="1:26" s="143" customFormat="1">
      <c r="A125" s="139" t="s">
        <v>328</v>
      </c>
      <c r="B125" s="139" t="s">
        <v>329</v>
      </c>
      <c r="C125" s="352">
        <v>38507</v>
      </c>
      <c r="D125" s="352">
        <v>38514</v>
      </c>
      <c r="E125" s="139" t="s">
        <v>330</v>
      </c>
      <c r="F125" s="139"/>
      <c r="G125" s="140">
        <v>54595</v>
      </c>
      <c r="H125" s="139" t="s">
        <v>331</v>
      </c>
      <c r="I125" s="139" t="s">
        <v>18</v>
      </c>
      <c r="J125" s="139" t="s">
        <v>51</v>
      </c>
      <c r="K125" s="139" t="s">
        <v>332</v>
      </c>
      <c r="L125" s="139"/>
      <c r="M125" s="139"/>
      <c r="N125" s="156" t="s">
        <v>333</v>
      </c>
      <c r="O125" s="157">
        <v>650</v>
      </c>
      <c r="P125" s="139"/>
      <c r="Q125" s="139" t="s">
        <v>271</v>
      </c>
      <c r="R125" s="140">
        <v>1</v>
      </c>
      <c r="S125" s="140" t="s">
        <v>339</v>
      </c>
      <c r="T125" s="140"/>
      <c r="U125" s="185" t="s">
        <v>232</v>
      </c>
      <c r="V125" s="139"/>
      <c r="W125" s="139"/>
      <c r="X125" s="139"/>
      <c r="Y125" s="139"/>
      <c r="Z125" s="139"/>
    </row>
    <row r="126" spans="1:26" s="143" customFormat="1">
      <c r="A126" s="139" t="s">
        <v>182</v>
      </c>
      <c r="B126" s="139" t="s">
        <v>181</v>
      </c>
      <c r="C126" s="352">
        <v>38514</v>
      </c>
      <c r="D126" s="352">
        <v>38535</v>
      </c>
      <c r="E126" s="139" t="s">
        <v>186</v>
      </c>
      <c r="F126" s="139"/>
      <c r="G126" s="140">
        <v>41470</v>
      </c>
      <c r="H126" s="139" t="s">
        <v>187</v>
      </c>
      <c r="I126" s="139" t="s">
        <v>18</v>
      </c>
      <c r="J126" s="139" t="s">
        <v>51</v>
      </c>
      <c r="K126" s="139" t="s">
        <v>184</v>
      </c>
      <c r="L126" s="139" t="s">
        <v>185</v>
      </c>
      <c r="M126" s="139"/>
      <c r="N126" s="156" t="s">
        <v>183</v>
      </c>
      <c r="O126" s="157">
        <v>1800</v>
      </c>
      <c r="P126" s="139"/>
      <c r="Q126" s="139"/>
      <c r="R126" s="140">
        <v>3</v>
      </c>
      <c r="S126" s="140">
        <v>6</v>
      </c>
      <c r="T126" s="140"/>
      <c r="U126" s="185" t="s">
        <v>232</v>
      </c>
      <c r="V126" s="139"/>
      <c r="W126" s="139"/>
      <c r="X126" s="139"/>
      <c r="Y126" s="139"/>
      <c r="Z126" s="139"/>
    </row>
    <row r="127" spans="1:26" s="143" customFormat="1">
      <c r="A127" s="139" t="s">
        <v>256</v>
      </c>
      <c r="B127" s="139" t="s">
        <v>252</v>
      </c>
      <c r="C127" s="352">
        <v>38570</v>
      </c>
      <c r="D127" s="352">
        <v>38584</v>
      </c>
      <c r="E127" s="139" t="s">
        <v>253</v>
      </c>
      <c r="F127" s="139"/>
      <c r="G127" s="140">
        <v>53577</v>
      </c>
      <c r="H127" s="139" t="s">
        <v>254</v>
      </c>
      <c r="I127" s="139" t="s">
        <v>18</v>
      </c>
      <c r="J127" s="139" t="s">
        <v>51</v>
      </c>
      <c r="K127" s="139" t="s">
        <v>257</v>
      </c>
      <c r="L127" s="139" t="s">
        <v>255</v>
      </c>
      <c r="M127" s="139" t="s">
        <v>258</v>
      </c>
      <c r="N127" s="156" t="s">
        <v>259</v>
      </c>
      <c r="O127" s="157">
        <v>2200</v>
      </c>
      <c r="P127" s="139"/>
      <c r="Q127" s="139"/>
      <c r="R127" s="140">
        <v>2</v>
      </c>
      <c r="S127" s="140">
        <v>6</v>
      </c>
      <c r="T127" s="140">
        <v>1</v>
      </c>
      <c r="U127" s="185" t="s">
        <v>232</v>
      </c>
      <c r="V127" s="139"/>
      <c r="W127" s="139"/>
      <c r="X127" s="139"/>
      <c r="Y127" s="139"/>
      <c r="Z127" s="139"/>
    </row>
    <row r="128" spans="1:26" s="143" customFormat="1">
      <c r="A128" s="139" t="s">
        <v>240</v>
      </c>
      <c r="B128" s="139" t="s">
        <v>241</v>
      </c>
      <c r="C128" s="154">
        <v>38528</v>
      </c>
      <c r="D128" s="154">
        <v>38549</v>
      </c>
      <c r="E128" s="139" t="s">
        <v>235</v>
      </c>
      <c r="F128" s="139"/>
      <c r="G128" s="140" t="s">
        <v>238</v>
      </c>
      <c r="H128" s="139" t="s">
        <v>239</v>
      </c>
      <c r="I128" s="139" t="s">
        <v>18</v>
      </c>
      <c r="J128" s="139" t="s">
        <v>51</v>
      </c>
      <c r="K128" s="139" t="s">
        <v>236</v>
      </c>
      <c r="L128" s="139" t="s">
        <v>245</v>
      </c>
      <c r="M128" s="139"/>
      <c r="N128" s="156" t="s">
        <v>237</v>
      </c>
      <c r="O128" s="136">
        <v>1650</v>
      </c>
      <c r="P128" s="139"/>
      <c r="Q128" s="139"/>
      <c r="R128" s="140">
        <v>3</v>
      </c>
      <c r="S128" s="140">
        <v>2</v>
      </c>
      <c r="T128" s="140">
        <v>2</v>
      </c>
      <c r="U128" s="185" t="s">
        <v>232</v>
      </c>
      <c r="V128" s="139"/>
      <c r="W128" s="139"/>
      <c r="X128" s="139"/>
      <c r="Y128" s="139"/>
      <c r="Z128" s="139"/>
    </row>
    <row r="129" spans="1:26" s="143" customFormat="1">
      <c r="A129" s="139" t="s">
        <v>304</v>
      </c>
      <c r="B129" s="139" t="s">
        <v>305</v>
      </c>
      <c r="C129" s="154">
        <v>38577</v>
      </c>
      <c r="D129" s="154">
        <v>38591</v>
      </c>
      <c r="E129" s="139" t="s">
        <v>306</v>
      </c>
      <c r="F129" s="139"/>
      <c r="G129" s="140">
        <v>68542</v>
      </c>
      <c r="H129" s="139" t="s">
        <v>307</v>
      </c>
      <c r="I129" s="139" t="s">
        <v>18</v>
      </c>
      <c r="J129" s="139" t="s">
        <v>51</v>
      </c>
      <c r="K129" s="139" t="s">
        <v>308</v>
      </c>
      <c r="L129" s="139"/>
      <c r="M129" s="139" t="s">
        <v>309</v>
      </c>
      <c r="N129" s="156" t="s">
        <v>310</v>
      </c>
      <c r="O129" s="139">
        <v>1300</v>
      </c>
      <c r="P129" s="139"/>
      <c r="Q129" s="139" t="s">
        <v>311</v>
      </c>
      <c r="R129" s="140">
        <v>2</v>
      </c>
      <c r="S129" s="140">
        <v>2</v>
      </c>
      <c r="T129" s="140">
        <v>1</v>
      </c>
      <c r="U129" s="185" t="s">
        <v>232</v>
      </c>
      <c r="V129" s="139"/>
      <c r="W129" s="139" t="s">
        <v>313</v>
      </c>
      <c r="X129" s="139"/>
      <c r="Y129" s="139"/>
      <c r="Z129" s="139"/>
    </row>
    <row r="130" spans="1:26" s="143" customFormat="1">
      <c r="A130" s="139" t="s">
        <v>290</v>
      </c>
      <c r="B130" s="139"/>
      <c r="C130" s="154">
        <v>38591</v>
      </c>
      <c r="D130" s="154">
        <v>38605</v>
      </c>
      <c r="E130" s="139" t="s">
        <v>291</v>
      </c>
      <c r="F130" s="139"/>
      <c r="G130" s="140">
        <v>66292</v>
      </c>
      <c r="H130" s="139" t="s">
        <v>292</v>
      </c>
      <c r="I130" s="139" t="s">
        <v>18</v>
      </c>
      <c r="J130" s="139" t="s">
        <v>51</v>
      </c>
      <c r="K130" s="139" t="s">
        <v>294</v>
      </c>
      <c r="L130" s="139" t="s">
        <v>295</v>
      </c>
      <c r="M130" s="139"/>
      <c r="N130" s="156" t="s">
        <v>293</v>
      </c>
      <c r="O130" s="136">
        <v>1050</v>
      </c>
      <c r="P130" s="139"/>
      <c r="Q130" s="139" t="s">
        <v>312</v>
      </c>
      <c r="R130" s="140">
        <v>2</v>
      </c>
      <c r="S130" s="140">
        <v>2</v>
      </c>
      <c r="T130" s="140">
        <v>1</v>
      </c>
      <c r="U130" s="185" t="s">
        <v>232</v>
      </c>
      <c r="V130" s="139"/>
      <c r="W130" s="139"/>
      <c r="X130" s="139"/>
      <c r="Y130" s="139"/>
      <c r="Z130" s="139"/>
    </row>
    <row r="131" spans="1:26" s="143" customFormat="1">
      <c r="A131" s="139" t="s">
        <v>287</v>
      </c>
      <c r="B131" s="139"/>
      <c r="C131" s="154">
        <v>38605</v>
      </c>
      <c r="D131" s="154">
        <v>38619</v>
      </c>
      <c r="E131" s="139" t="s">
        <v>288</v>
      </c>
      <c r="F131" s="139"/>
      <c r="G131" s="140">
        <v>73061</v>
      </c>
      <c r="H131" s="139" t="s">
        <v>289</v>
      </c>
      <c r="I131" s="139" t="s">
        <v>18</v>
      </c>
      <c r="J131" s="139" t="s">
        <v>51</v>
      </c>
      <c r="K131" s="139"/>
      <c r="L131" s="139"/>
      <c r="M131" s="139"/>
      <c r="N131" s="156" t="s">
        <v>286</v>
      </c>
      <c r="O131" s="136">
        <v>900</v>
      </c>
      <c r="P131" s="139"/>
      <c r="Q131" s="139" t="s">
        <v>311</v>
      </c>
      <c r="R131" s="140">
        <v>2</v>
      </c>
      <c r="S131" s="140">
        <v>2</v>
      </c>
      <c r="T131" s="140">
        <v>1</v>
      </c>
      <c r="U131" s="185" t="s">
        <v>232</v>
      </c>
      <c r="V131" s="139"/>
      <c r="W131" s="139"/>
      <c r="X131" s="139"/>
      <c r="Y131" s="139"/>
      <c r="Z131" s="139"/>
    </row>
    <row r="132" spans="1:26" s="143" customFormat="1" ht="13.2">
      <c r="A132" s="115" t="s">
        <v>1997</v>
      </c>
      <c r="B132" s="115" t="s">
        <v>1998</v>
      </c>
      <c r="C132" s="116">
        <v>43484</v>
      </c>
      <c r="D132" s="116">
        <v>43498</v>
      </c>
      <c r="E132" s="115" t="s">
        <v>1999</v>
      </c>
      <c r="F132" s="115"/>
      <c r="G132" s="361" t="s">
        <v>2000</v>
      </c>
      <c r="H132" s="115" t="s">
        <v>2001</v>
      </c>
      <c r="I132" s="115" t="s">
        <v>2002</v>
      </c>
      <c r="J132" s="115" t="s">
        <v>51</v>
      </c>
      <c r="K132" s="115"/>
      <c r="L132" s="115" t="s">
        <v>2003</v>
      </c>
      <c r="M132" s="115"/>
      <c r="N132" s="121" t="s">
        <v>2004</v>
      </c>
      <c r="O132" s="118">
        <f>690*2+3*3*14+70</f>
        <v>1576</v>
      </c>
      <c r="P132" s="115"/>
      <c r="Q132" s="115" t="s">
        <v>2005</v>
      </c>
      <c r="R132" s="361">
        <v>2</v>
      </c>
      <c r="S132" s="361">
        <v>2</v>
      </c>
      <c r="T132" s="361">
        <v>3</v>
      </c>
      <c r="U132" s="119"/>
      <c r="V132" s="120" t="s">
        <v>1769</v>
      </c>
      <c r="W132" s="115"/>
      <c r="X132" s="115"/>
      <c r="Y132" s="115"/>
      <c r="Z132" s="115"/>
    </row>
    <row r="133" spans="1:26" s="143" customFormat="1">
      <c r="A133" s="115" t="s">
        <v>1824</v>
      </c>
      <c r="B133" s="115" t="s">
        <v>1823</v>
      </c>
      <c r="C133" s="116">
        <v>43183</v>
      </c>
      <c r="D133" s="116">
        <v>43197</v>
      </c>
      <c r="E133" s="115" t="s">
        <v>1822</v>
      </c>
      <c r="F133" s="115"/>
      <c r="G133" s="361" t="s">
        <v>1826</v>
      </c>
      <c r="H133" s="115" t="s">
        <v>1825</v>
      </c>
      <c r="I133" s="115" t="s">
        <v>1827</v>
      </c>
      <c r="J133" s="115" t="s">
        <v>51</v>
      </c>
      <c r="K133" s="115" t="s">
        <v>1828</v>
      </c>
      <c r="L133" s="115"/>
      <c r="M133" s="115"/>
      <c r="N133" s="128" t="s">
        <v>1831</v>
      </c>
      <c r="O133" s="118">
        <f>690*2</f>
        <v>1380</v>
      </c>
      <c r="P133" s="115"/>
      <c r="Q133" s="115" t="s">
        <v>1829</v>
      </c>
      <c r="R133" s="361">
        <v>2</v>
      </c>
      <c r="S133" s="361" t="s">
        <v>1830</v>
      </c>
      <c r="T133" s="361">
        <v>1</v>
      </c>
      <c r="U133" s="119">
        <v>500</v>
      </c>
      <c r="V133" s="115">
        <v>43046</v>
      </c>
      <c r="W133" s="115" t="s">
        <v>1833</v>
      </c>
      <c r="X133" s="115" t="s">
        <v>1154</v>
      </c>
      <c r="Y133" s="115"/>
      <c r="Z133" s="115"/>
    </row>
    <row r="134" spans="1:26" s="143" customFormat="1" ht="13.2">
      <c r="A134" s="291" t="s">
        <v>1669</v>
      </c>
      <c r="B134" s="291" t="s">
        <v>1670</v>
      </c>
      <c r="C134" s="292">
        <v>42938</v>
      </c>
      <c r="D134" s="292">
        <v>42945</v>
      </c>
      <c r="E134" s="291" t="s">
        <v>1671</v>
      </c>
      <c r="F134" s="291"/>
      <c r="G134" s="293" t="s">
        <v>1672</v>
      </c>
      <c r="H134" s="291" t="s">
        <v>1673</v>
      </c>
      <c r="I134" s="291" t="s">
        <v>1674</v>
      </c>
      <c r="J134" s="291" t="s">
        <v>1023</v>
      </c>
      <c r="K134" s="291" t="s">
        <v>1675</v>
      </c>
      <c r="L134" s="291"/>
      <c r="M134" s="291"/>
      <c r="N134" s="294" t="s">
        <v>1676</v>
      </c>
      <c r="O134" s="295">
        <v>1990</v>
      </c>
      <c r="P134" s="291"/>
      <c r="Q134" s="291" t="s">
        <v>1677</v>
      </c>
      <c r="R134" s="293">
        <v>1</v>
      </c>
      <c r="S134" s="293">
        <v>3</v>
      </c>
      <c r="T134" s="293">
        <v>1</v>
      </c>
      <c r="U134" s="296">
        <v>500</v>
      </c>
      <c r="V134" s="298">
        <v>42761</v>
      </c>
      <c r="W134" s="291" t="s">
        <v>1678</v>
      </c>
      <c r="X134" s="291" t="s">
        <v>1154</v>
      </c>
      <c r="Y134" s="291"/>
      <c r="Z134" s="291"/>
    </row>
    <row r="135" spans="1:26" s="143" customFormat="1" ht="13.2">
      <c r="A135" s="291" t="s">
        <v>1771</v>
      </c>
      <c r="B135" s="291" t="s">
        <v>1772</v>
      </c>
      <c r="C135" s="292">
        <v>43002</v>
      </c>
      <c r="D135" s="292">
        <v>43008</v>
      </c>
      <c r="E135" s="291" t="s">
        <v>1773</v>
      </c>
      <c r="F135" s="291"/>
      <c r="G135" s="293"/>
      <c r="H135" s="291" t="s">
        <v>1774</v>
      </c>
      <c r="I135" s="291" t="s">
        <v>1775</v>
      </c>
      <c r="J135" s="291" t="s">
        <v>51</v>
      </c>
      <c r="K135" s="291"/>
      <c r="L135" s="291" t="s">
        <v>1776</v>
      </c>
      <c r="M135" s="291"/>
      <c r="N135" s="294" t="s">
        <v>1777</v>
      </c>
      <c r="O135" s="295">
        <v>990</v>
      </c>
      <c r="P135" s="291"/>
      <c r="Q135" s="291" t="s">
        <v>1025</v>
      </c>
      <c r="R135" s="293">
        <v>1</v>
      </c>
      <c r="S135" s="293">
        <v>2</v>
      </c>
      <c r="T135" s="293">
        <v>1</v>
      </c>
      <c r="U135" s="296">
        <v>250</v>
      </c>
      <c r="V135" s="291"/>
      <c r="W135" s="291" t="s">
        <v>1477</v>
      </c>
      <c r="X135" s="291"/>
      <c r="Y135" s="291"/>
      <c r="Z135" s="291"/>
    </row>
    <row r="136" spans="1:26" s="143" customFormat="1">
      <c r="A136" s="505" t="s">
        <v>681</v>
      </c>
      <c r="B136" s="115" t="s">
        <v>1874</v>
      </c>
      <c r="C136" s="116">
        <v>43316</v>
      </c>
      <c r="D136" s="116">
        <v>43323</v>
      </c>
      <c r="E136" s="115" t="s">
        <v>1875</v>
      </c>
      <c r="F136" s="115"/>
      <c r="G136" s="361" t="s">
        <v>1876</v>
      </c>
      <c r="H136" s="115" t="s">
        <v>1774</v>
      </c>
      <c r="I136" s="115" t="s">
        <v>1775</v>
      </c>
      <c r="J136" s="115" t="s">
        <v>1023</v>
      </c>
      <c r="K136" s="115"/>
      <c r="L136" s="115" t="s">
        <v>1877</v>
      </c>
      <c r="M136" s="115"/>
      <c r="N136" s="128" t="s">
        <v>1878</v>
      </c>
      <c r="O136" s="118">
        <v>1990</v>
      </c>
      <c r="P136" s="115"/>
      <c r="Q136" s="115" t="s">
        <v>1879</v>
      </c>
      <c r="R136" s="361">
        <v>1</v>
      </c>
      <c r="S136" s="361">
        <v>4</v>
      </c>
      <c r="T136" s="361">
        <v>1</v>
      </c>
      <c r="U136" s="119">
        <v>500</v>
      </c>
      <c r="V136" s="120"/>
      <c r="W136" s="115"/>
      <c r="X136" s="115"/>
      <c r="Y136" s="115"/>
      <c r="Z136" s="115"/>
    </row>
    <row r="137" spans="1:26" s="143" customFormat="1">
      <c r="A137" s="142" t="s">
        <v>823</v>
      </c>
      <c r="B137" s="143" t="s">
        <v>388</v>
      </c>
      <c r="C137" s="144">
        <v>41027</v>
      </c>
      <c r="D137" s="144">
        <v>41034</v>
      </c>
      <c r="G137" s="145"/>
      <c r="I137" s="143" t="s">
        <v>36</v>
      </c>
      <c r="J137" s="143" t="s">
        <v>19</v>
      </c>
      <c r="L137" s="143" t="s">
        <v>837</v>
      </c>
      <c r="N137" s="147" t="s">
        <v>825</v>
      </c>
      <c r="O137" s="148">
        <f>790+42+70</f>
        <v>902</v>
      </c>
      <c r="Q137" s="143" t="s">
        <v>824</v>
      </c>
      <c r="R137" s="145">
        <v>1</v>
      </c>
      <c r="S137" s="145">
        <v>4</v>
      </c>
      <c r="T137" s="145">
        <v>2</v>
      </c>
      <c r="U137" s="236">
        <v>200</v>
      </c>
      <c r="W137" s="143" t="s">
        <v>824</v>
      </c>
    </row>
    <row r="138" spans="1:26" s="143" customFormat="1" ht="13.2">
      <c r="A138" s="142" t="s">
        <v>1124</v>
      </c>
      <c r="C138" s="144">
        <v>41433</v>
      </c>
      <c r="D138" s="144">
        <v>41440</v>
      </c>
      <c r="E138" s="143" t="s">
        <v>1125</v>
      </c>
      <c r="G138" s="145" t="s">
        <v>1126</v>
      </c>
      <c r="H138" s="143" t="s">
        <v>1127</v>
      </c>
      <c r="I138" s="143" t="s">
        <v>36</v>
      </c>
      <c r="J138" s="143" t="s">
        <v>19</v>
      </c>
      <c r="K138" s="143" t="s">
        <v>1128</v>
      </c>
      <c r="N138" s="253" t="s">
        <v>1680</v>
      </c>
      <c r="O138" s="148">
        <v>1090</v>
      </c>
      <c r="Q138" s="143" t="s">
        <v>1130</v>
      </c>
      <c r="R138" s="145">
        <v>1</v>
      </c>
      <c r="S138" s="145" t="s">
        <v>1130</v>
      </c>
      <c r="T138" s="145">
        <v>0</v>
      </c>
      <c r="U138" s="236">
        <v>290</v>
      </c>
      <c r="V138" s="238">
        <v>41386</v>
      </c>
    </row>
    <row r="139" spans="1:26" s="225" customFormat="1" ht="15.6">
      <c r="A139" s="142" t="s">
        <v>1097</v>
      </c>
      <c r="B139" s="143" t="s">
        <v>1098</v>
      </c>
      <c r="C139" s="144">
        <v>41482</v>
      </c>
      <c r="D139" s="144">
        <v>41489</v>
      </c>
      <c r="E139" s="143" t="s">
        <v>1102</v>
      </c>
      <c r="F139" s="143"/>
      <c r="G139" s="145" t="s">
        <v>1103</v>
      </c>
      <c r="H139" s="143" t="s">
        <v>1104</v>
      </c>
      <c r="I139" s="143" t="s">
        <v>36</v>
      </c>
      <c r="J139" s="143" t="s">
        <v>19</v>
      </c>
      <c r="K139" s="143" t="s">
        <v>1105</v>
      </c>
      <c r="L139" s="143" t="s">
        <v>1100</v>
      </c>
      <c r="M139" s="143"/>
      <c r="N139" s="147" t="s">
        <v>1099</v>
      </c>
      <c r="O139" s="148">
        <v>1990</v>
      </c>
      <c r="P139" s="143"/>
      <c r="Q139" s="143" t="s">
        <v>1101</v>
      </c>
      <c r="R139" s="145">
        <v>1</v>
      </c>
      <c r="S139" s="145">
        <v>3</v>
      </c>
      <c r="T139" s="145">
        <v>0</v>
      </c>
      <c r="U139" s="236">
        <v>500</v>
      </c>
      <c r="V139" s="240">
        <v>41331</v>
      </c>
      <c r="W139" s="143" t="s">
        <v>1081</v>
      </c>
      <c r="X139" s="143"/>
      <c r="Y139" s="143"/>
      <c r="Z139" s="143"/>
    </row>
    <row r="140" spans="1:26">
      <c r="A140" s="143" t="s">
        <v>1228</v>
      </c>
      <c r="B140" s="143" t="s">
        <v>1229</v>
      </c>
      <c r="C140" s="144">
        <v>41888</v>
      </c>
      <c r="D140" s="144">
        <v>41895</v>
      </c>
      <c r="E140" s="143" t="s">
        <v>1230</v>
      </c>
      <c r="F140" s="143"/>
      <c r="G140" s="145" t="s">
        <v>1231</v>
      </c>
      <c r="H140" s="143" t="s">
        <v>1232</v>
      </c>
      <c r="I140" s="143" t="s">
        <v>36</v>
      </c>
      <c r="J140" s="143" t="s">
        <v>19</v>
      </c>
      <c r="K140" s="143"/>
      <c r="L140" s="143" t="s">
        <v>1233</v>
      </c>
      <c r="M140" s="143"/>
      <c r="N140" s="147" t="s">
        <v>1234</v>
      </c>
      <c r="O140" s="148">
        <v>1190</v>
      </c>
      <c r="P140" s="143"/>
      <c r="Q140" s="143" t="s">
        <v>1235</v>
      </c>
      <c r="R140" s="145">
        <v>1</v>
      </c>
      <c r="S140" s="145"/>
      <c r="T140" s="145">
        <v>0</v>
      </c>
      <c r="U140" s="586">
        <f>300</f>
        <v>300</v>
      </c>
      <c r="V140" s="238">
        <v>41659</v>
      </c>
      <c r="W140" s="143"/>
      <c r="X140" s="143" t="s">
        <v>1154</v>
      </c>
      <c r="Y140" s="143"/>
      <c r="Z140" s="143"/>
    </row>
    <row r="141" spans="1:26" ht="15" thickBot="1">
      <c r="A141" s="291" t="s">
        <v>1599</v>
      </c>
      <c r="B141" s="291" t="s">
        <v>228</v>
      </c>
      <c r="C141" s="292">
        <v>42602</v>
      </c>
      <c r="D141" s="292">
        <v>42609</v>
      </c>
      <c r="E141" s="291" t="s">
        <v>1604</v>
      </c>
      <c r="F141" s="291"/>
      <c r="G141" s="293" t="s">
        <v>1605</v>
      </c>
      <c r="H141" s="291" t="s">
        <v>1606</v>
      </c>
      <c r="I141" s="291" t="s">
        <v>36</v>
      </c>
      <c r="J141" s="291" t="s">
        <v>1600</v>
      </c>
      <c r="K141" s="291"/>
      <c r="L141" s="301" t="s">
        <v>1623</v>
      </c>
      <c r="M141" s="291"/>
      <c r="N141" s="294" t="s">
        <v>1607</v>
      </c>
      <c r="O141" s="295">
        <v>1290</v>
      </c>
      <c r="P141" s="291"/>
      <c r="Q141" s="291" t="s">
        <v>1603</v>
      </c>
      <c r="R141" s="293">
        <v>1</v>
      </c>
      <c r="S141" s="293"/>
      <c r="T141" s="293"/>
      <c r="U141" s="591">
        <v>400</v>
      </c>
      <c r="V141" s="298"/>
      <c r="W141" s="291"/>
      <c r="X141" s="291"/>
      <c r="Y141" s="291"/>
      <c r="Z141" s="291"/>
    </row>
    <row r="142" spans="1:26" ht="10.8" thickBot="1">
      <c r="A142" s="514" t="s">
        <v>188</v>
      </c>
      <c r="B142" s="183" t="s">
        <v>244</v>
      </c>
      <c r="C142" s="352">
        <v>38444</v>
      </c>
      <c r="D142" s="656">
        <v>38451</v>
      </c>
      <c r="E142" s="183" t="s">
        <v>189</v>
      </c>
      <c r="G142" s="140">
        <v>1700</v>
      </c>
      <c r="H142" s="139" t="s">
        <v>190</v>
      </c>
      <c r="I142" s="139" t="s">
        <v>36</v>
      </c>
      <c r="J142" s="139" t="s">
        <v>19</v>
      </c>
      <c r="K142" s="139" t="s">
        <v>226</v>
      </c>
      <c r="L142" s="139" t="s">
        <v>227</v>
      </c>
      <c r="N142" s="156" t="s">
        <v>191</v>
      </c>
      <c r="O142" s="157">
        <v>460</v>
      </c>
      <c r="R142" s="140">
        <v>1</v>
      </c>
      <c r="S142" s="140" t="s">
        <v>192</v>
      </c>
      <c r="U142" s="139" t="s">
        <v>232</v>
      </c>
    </row>
    <row r="143" spans="1:26" ht="10.8" thickBot="1">
      <c r="A143" s="207" t="s">
        <v>1218</v>
      </c>
      <c r="B143" s="529" t="s">
        <v>1219</v>
      </c>
      <c r="C143" s="546">
        <v>41909</v>
      </c>
      <c r="D143" s="558">
        <v>41916</v>
      </c>
      <c r="E143" s="530" t="s">
        <v>1220</v>
      </c>
      <c r="F143" s="143"/>
      <c r="G143" s="145" t="s">
        <v>1221</v>
      </c>
      <c r="H143" s="143" t="s">
        <v>1222</v>
      </c>
      <c r="I143" s="143" t="s">
        <v>1223</v>
      </c>
      <c r="J143" s="143" t="s">
        <v>180</v>
      </c>
      <c r="K143" s="143" t="s">
        <v>1224</v>
      </c>
      <c r="L143" s="143" t="s">
        <v>1225</v>
      </c>
      <c r="M143" s="143"/>
      <c r="N143" s="147" t="s">
        <v>1226</v>
      </c>
      <c r="O143" s="148">
        <f>990+42</f>
        <v>1032</v>
      </c>
      <c r="P143" s="143"/>
      <c r="Q143" s="143" t="s">
        <v>1192</v>
      </c>
      <c r="R143" s="145">
        <v>1</v>
      </c>
      <c r="S143" s="145">
        <v>2</v>
      </c>
      <c r="T143" s="145">
        <v>2</v>
      </c>
      <c r="U143" s="586">
        <v>250</v>
      </c>
      <c r="V143" s="238">
        <v>41660</v>
      </c>
      <c r="W143" s="143" t="s">
        <v>1227</v>
      </c>
      <c r="X143" s="143" t="s">
        <v>1154</v>
      </c>
      <c r="Y143" s="143"/>
      <c r="Z143" s="143"/>
    </row>
    <row r="144" spans="1:26" ht="10.8" thickBot="1">
      <c r="A144" s="143" t="s">
        <v>423</v>
      </c>
      <c r="B144" s="143" t="s">
        <v>425</v>
      </c>
      <c r="C144" s="144">
        <v>39690</v>
      </c>
      <c r="D144" s="558">
        <v>39697</v>
      </c>
      <c r="E144" s="530" t="s">
        <v>426</v>
      </c>
      <c r="F144" s="143"/>
      <c r="G144" s="145"/>
      <c r="H144" s="143"/>
      <c r="I144" s="143" t="s">
        <v>429</v>
      </c>
      <c r="J144" s="143" t="s">
        <v>424</v>
      </c>
      <c r="K144" s="143" t="s">
        <v>428</v>
      </c>
      <c r="L144" s="143" t="s">
        <v>427</v>
      </c>
      <c r="M144" s="143"/>
      <c r="N144" s="151"/>
      <c r="O144" s="148">
        <v>1200</v>
      </c>
      <c r="P144" s="143"/>
      <c r="Q144" s="143"/>
      <c r="R144" s="145">
        <v>1</v>
      </c>
      <c r="S144" s="145">
        <v>7</v>
      </c>
      <c r="T144" s="145"/>
      <c r="U144" s="581">
        <v>300</v>
      </c>
      <c r="V144" s="143"/>
      <c r="W144" s="143"/>
      <c r="X144" s="143"/>
      <c r="Y144" s="143"/>
      <c r="Z144" s="143"/>
    </row>
    <row r="145" spans="1:26" ht="10.8" thickBot="1">
      <c r="A145" s="508" t="s">
        <v>415</v>
      </c>
      <c r="B145" s="531" t="s">
        <v>706</v>
      </c>
      <c r="C145" s="144">
        <v>39557</v>
      </c>
      <c r="D145" s="558">
        <v>39564</v>
      </c>
      <c r="E145" s="530" t="s">
        <v>411</v>
      </c>
      <c r="F145" s="143"/>
      <c r="G145" s="145">
        <v>78690</v>
      </c>
      <c r="H145" s="143"/>
      <c r="I145" s="143" t="s">
        <v>23</v>
      </c>
      <c r="J145" s="143" t="s">
        <v>19</v>
      </c>
      <c r="K145" s="143" t="s">
        <v>412</v>
      </c>
      <c r="L145" s="143" t="s">
        <v>414</v>
      </c>
      <c r="M145" s="143"/>
      <c r="N145" s="147"/>
      <c r="O145" s="148">
        <v>898</v>
      </c>
      <c r="P145" s="143"/>
      <c r="Q145" s="143" t="s">
        <v>419</v>
      </c>
      <c r="R145" s="145">
        <v>1</v>
      </c>
      <c r="S145" s="145">
        <v>6</v>
      </c>
      <c r="T145" s="145"/>
      <c r="U145" s="581">
        <v>200</v>
      </c>
      <c r="V145" s="143"/>
      <c r="W145" s="143"/>
      <c r="X145" s="143"/>
      <c r="Y145" s="143"/>
      <c r="Z145" s="143"/>
    </row>
    <row r="146" spans="1:26" ht="10.8" thickBot="1">
      <c r="A146" s="143" t="s">
        <v>430</v>
      </c>
      <c r="B146" s="143" t="s">
        <v>431</v>
      </c>
      <c r="C146" s="144">
        <v>39583</v>
      </c>
      <c r="D146" s="558">
        <v>39592</v>
      </c>
      <c r="E146" s="530" t="s">
        <v>432</v>
      </c>
      <c r="F146" s="143"/>
      <c r="G146" s="145">
        <v>60380</v>
      </c>
      <c r="H146" s="143" t="s">
        <v>433</v>
      </c>
      <c r="I146" s="143" t="s">
        <v>23</v>
      </c>
      <c r="J146" s="143" t="s">
        <v>19</v>
      </c>
      <c r="K146" s="143" t="s">
        <v>435</v>
      </c>
      <c r="L146" s="143" t="s">
        <v>436</v>
      </c>
      <c r="M146" s="143"/>
      <c r="N146" s="147" t="s">
        <v>434</v>
      </c>
      <c r="O146" s="148">
        <v>1100</v>
      </c>
      <c r="P146" s="143"/>
      <c r="Q146" s="143" t="s">
        <v>440</v>
      </c>
      <c r="R146" s="145">
        <v>1</v>
      </c>
      <c r="S146" s="145">
        <v>2</v>
      </c>
      <c r="T146" s="145">
        <v>1</v>
      </c>
      <c r="U146" s="676">
        <v>250</v>
      </c>
      <c r="V146" s="143"/>
      <c r="W146" s="143"/>
      <c r="X146" s="143"/>
      <c r="Y146" s="143"/>
      <c r="Z146" s="143"/>
    </row>
    <row r="147" spans="1:26" ht="10.8" thickBot="1">
      <c r="A147" s="167" t="s">
        <v>203</v>
      </c>
      <c r="B147" s="534" t="s">
        <v>202</v>
      </c>
      <c r="C147" s="144">
        <v>39627</v>
      </c>
      <c r="D147" s="559">
        <v>39634</v>
      </c>
      <c r="E147" s="529" t="s">
        <v>420</v>
      </c>
      <c r="F147" s="143"/>
      <c r="G147" s="145">
        <v>76440</v>
      </c>
      <c r="H147" s="143" t="s">
        <v>421</v>
      </c>
      <c r="I147" s="143" t="s">
        <v>23</v>
      </c>
      <c r="J147" s="143" t="s">
        <v>19</v>
      </c>
      <c r="K147" s="143" t="s">
        <v>403</v>
      </c>
      <c r="L147" s="143" t="s">
        <v>404</v>
      </c>
      <c r="M147" s="143"/>
      <c r="N147" s="151" t="s">
        <v>402</v>
      </c>
      <c r="O147" s="148">
        <v>1300</v>
      </c>
      <c r="P147" s="143"/>
      <c r="Q147" s="143" t="s">
        <v>422</v>
      </c>
      <c r="R147" s="145">
        <v>1</v>
      </c>
      <c r="S147" s="145">
        <v>8</v>
      </c>
      <c r="T147" s="145">
        <v>1</v>
      </c>
      <c r="U147" s="581">
        <f>O147/4</f>
        <v>325</v>
      </c>
      <c r="V147" s="143"/>
      <c r="W147" s="143"/>
      <c r="X147" s="143"/>
      <c r="Y147" s="143"/>
      <c r="Z147" s="143"/>
    </row>
    <row r="148" spans="1:26" ht="10.8" thickBot="1">
      <c r="A148" s="207" t="s">
        <v>383</v>
      </c>
      <c r="B148" s="529" t="s">
        <v>388</v>
      </c>
      <c r="C148" s="144">
        <v>39648</v>
      </c>
      <c r="D148" s="559">
        <v>39669</v>
      </c>
      <c r="E148" s="529" t="s">
        <v>384</v>
      </c>
      <c r="F148" s="143"/>
      <c r="G148" s="145">
        <v>94300</v>
      </c>
      <c r="H148" s="143" t="s">
        <v>385</v>
      </c>
      <c r="I148" s="143" t="s">
        <v>23</v>
      </c>
      <c r="J148" s="143" t="s">
        <v>19</v>
      </c>
      <c r="K148" s="143" t="s">
        <v>386</v>
      </c>
      <c r="L148" s="143" t="s">
        <v>387</v>
      </c>
      <c r="M148" s="143"/>
      <c r="N148" s="151"/>
      <c r="O148" s="148">
        <v>4250</v>
      </c>
      <c r="P148" s="143"/>
      <c r="Q148" s="143"/>
      <c r="R148" s="145">
        <v>3</v>
      </c>
      <c r="S148" s="145">
        <v>5</v>
      </c>
      <c r="T148" s="145"/>
      <c r="U148" s="581">
        <v>1036</v>
      </c>
      <c r="V148" s="143"/>
      <c r="W148" s="143"/>
      <c r="X148" s="143"/>
      <c r="Y148" s="143"/>
      <c r="Z148" s="143"/>
    </row>
    <row r="149" spans="1:26">
      <c r="A149" s="143" t="s">
        <v>389</v>
      </c>
      <c r="B149" s="143" t="s">
        <v>394</v>
      </c>
      <c r="C149" s="144">
        <v>39669</v>
      </c>
      <c r="D149" s="144">
        <v>39683</v>
      </c>
      <c r="E149" s="143" t="s">
        <v>390</v>
      </c>
      <c r="F149" s="143"/>
      <c r="G149" s="145">
        <v>59370</v>
      </c>
      <c r="H149" s="143" t="s">
        <v>391</v>
      </c>
      <c r="I149" s="143" t="s">
        <v>23</v>
      </c>
      <c r="J149" s="143" t="s">
        <v>19</v>
      </c>
      <c r="K149" s="143" t="s">
        <v>392</v>
      </c>
      <c r="L149" s="143"/>
      <c r="M149" s="143"/>
      <c r="N149" s="151"/>
      <c r="O149" s="148">
        <v>3000</v>
      </c>
      <c r="P149" s="143"/>
      <c r="Q149" s="143"/>
      <c r="R149" s="145">
        <v>2</v>
      </c>
      <c r="S149" s="145">
        <v>4</v>
      </c>
      <c r="T149" s="145">
        <v>1</v>
      </c>
      <c r="U149" s="581">
        <v>750</v>
      </c>
      <c r="V149" s="143"/>
      <c r="W149" s="143"/>
      <c r="X149" s="143"/>
      <c r="Y149" s="143"/>
      <c r="Z149" s="143"/>
    </row>
    <row r="150" spans="1:26" ht="128.55000000000001" customHeight="1">
      <c r="A150" s="143" t="s">
        <v>474</v>
      </c>
      <c r="B150" s="143" t="s">
        <v>473</v>
      </c>
      <c r="C150" s="144">
        <v>39746</v>
      </c>
      <c r="D150" s="144">
        <v>39753</v>
      </c>
      <c r="E150" s="143"/>
      <c r="F150" s="143"/>
      <c r="G150" s="145"/>
      <c r="H150" s="143"/>
      <c r="I150" s="143" t="s">
        <v>23</v>
      </c>
      <c r="J150" s="143" t="s">
        <v>19</v>
      </c>
      <c r="K150" s="143" t="s">
        <v>475</v>
      </c>
      <c r="L150" s="143"/>
      <c r="M150" s="143" t="s">
        <v>476</v>
      </c>
      <c r="N150" s="147" t="s">
        <v>472</v>
      </c>
      <c r="O150" s="148">
        <v>800</v>
      </c>
      <c r="P150" s="143"/>
      <c r="Q150" s="143"/>
      <c r="R150" s="145">
        <v>1</v>
      </c>
      <c r="S150" s="145">
        <v>4</v>
      </c>
      <c r="T150" s="145">
        <v>1</v>
      </c>
      <c r="U150" s="581">
        <v>200</v>
      </c>
      <c r="V150" s="143"/>
      <c r="W150" s="143"/>
      <c r="X150" s="143"/>
      <c r="Y150" s="143"/>
      <c r="Z150" s="143"/>
    </row>
    <row r="151" spans="1:26">
      <c r="A151" s="143" t="s">
        <v>486</v>
      </c>
      <c r="B151" s="143" t="s">
        <v>487</v>
      </c>
      <c r="C151" s="144">
        <v>39900</v>
      </c>
      <c r="D151" s="144">
        <v>39907</v>
      </c>
      <c r="E151" s="143" t="s">
        <v>488</v>
      </c>
      <c r="F151" s="143"/>
      <c r="G151" s="145">
        <v>95130</v>
      </c>
      <c r="H151" s="143" t="s">
        <v>489</v>
      </c>
      <c r="I151" s="143" t="s">
        <v>23</v>
      </c>
      <c r="J151" s="143" t="s">
        <v>19</v>
      </c>
      <c r="K151" s="143" t="s">
        <v>490</v>
      </c>
      <c r="L151" s="173" t="s">
        <v>491</v>
      </c>
      <c r="M151" s="143"/>
      <c r="N151" s="580" t="s">
        <v>492</v>
      </c>
      <c r="O151" s="581">
        <v>800</v>
      </c>
      <c r="P151" s="143"/>
      <c r="Q151" s="143"/>
      <c r="R151" s="145">
        <v>1</v>
      </c>
      <c r="S151" s="145">
        <v>4</v>
      </c>
      <c r="T151" s="145">
        <v>0</v>
      </c>
      <c r="U151" s="590">
        <v>200</v>
      </c>
      <c r="V151" s="143"/>
      <c r="W151" s="143"/>
      <c r="X151" s="143"/>
      <c r="Y151" s="143"/>
      <c r="Z151" s="143"/>
    </row>
    <row r="152" spans="1:26" s="143" customFormat="1">
      <c r="A152" s="143" t="s">
        <v>504</v>
      </c>
      <c r="B152" s="143" t="s">
        <v>98</v>
      </c>
      <c r="C152" s="144">
        <v>39921</v>
      </c>
      <c r="D152" s="144">
        <v>39928</v>
      </c>
      <c r="E152" s="143" t="s">
        <v>505</v>
      </c>
      <c r="G152" s="145">
        <v>78200</v>
      </c>
      <c r="H152" s="143" t="s">
        <v>506</v>
      </c>
      <c r="I152" s="143" t="s">
        <v>23</v>
      </c>
      <c r="J152" s="143" t="s">
        <v>19</v>
      </c>
      <c r="K152" s="143" t="s">
        <v>507</v>
      </c>
      <c r="L152" s="173" t="s">
        <v>508</v>
      </c>
      <c r="N152" s="147" t="s">
        <v>485</v>
      </c>
      <c r="O152" s="148">
        <v>870</v>
      </c>
      <c r="R152" s="145">
        <v>1</v>
      </c>
      <c r="S152" s="145">
        <v>2</v>
      </c>
      <c r="T152" s="145" t="s">
        <v>509</v>
      </c>
      <c r="U152" s="174">
        <v>200</v>
      </c>
    </row>
    <row r="153" spans="1:26" s="143" customFormat="1">
      <c r="A153" s="143" t="s">
        <v>519</v>
      </c>
      <c r="B153" s="143" t="s">
        <v>520</v>
      </c>
      <c r="C153" s="144">
        <v>40040</v>
      </c>
      <c r="D153" s="144">
        <v>40047</v>
      </c>
      <c r="E153" s="143" t="s">
        <v>521</v>
      </c>
      <c r="G153" s="145">
        <v>78670</v>
      </c>
      <c r="H153" s="143" t="s">
        <v>522</v>
      </c>
      <c r="I153" s="143" t="s">
        <v>23</v>
      </c>
      <c r="J153" s="143" t="s">
        <v>19</v>
      </c>
      <c r="K153" s="143" t="s">
        <v>523</v>
      </c>
      <c r="L153" s="173" t="s">
        <v>524</v>
      </c>
      <c r="N153" s="147" t="s">
        <v>525</v>
      </c>
      <c r="O153" s="148">
        <f>1490+42+70</f>
        <v>1602</v>
      </c>
      <c r="Q153" s="143" t="s">
        <v>526</v>
      </c>
      <c r="R153" s="145">
        <v>1</v>
      </c>
      <c r="S153" s="145">
        <v>5</v>
      </c>
      <c r="T153" s="145">
        <v>2</v>
      </c>
      <c r="U153" s="174">
        <v>400</v>
      </c>
    </row>
    <row r="154" spans="1:26" s="225" customFormat="1">
      <c r="A154" s="143" t="s">
        <v>587</v>
      </c>
      <c r="B154" s="143" t="s">
        <v>588</v>
      </c>
      <c r="C154" s="144">
        <v>40173</v>
      </c>
      <c r="D154" s="144">
        <v>40180</v>
      </c>
      <c r="E154" s="143" t="s">
        <v>586</v>
      </c>
      <c r="F154" s="143"/>
      <c r="G154" s="145">
        <v>92400</v>
      </c>
      <c r="H154" s="143" t="s">
        <v>589</v>
      </c>
      <c r="I154" s="143" t="s">
        <v>23</v>
      </c>
      <c r="J154" s="143" t="s">
        <v>19</v>
      </c>
      <c r="K154" s="143" t="s">
        <v>590</v>
      </c>
      <c r="L154" s="143" t="s">
        <v>591</v>
      </c>
      <c r="M154" s="143"/>
      <c r="N154" s="147" t="s">
        <v>593</v>
      </c>
      <c r="O154" s="148">
        <v>1050</v>
      </c>
      <c r="P154" s="143"/>
      <c r="Q154" s="143" t="s">
        <v>592</v>
      </c>
      <c r="R154" s="145">
        <v>1</v>
      </c>
      <c r="S154" s="145">
        <v>4</v>
      </c>
      <c r="T154" s="145"/>
      <c r="U154" s="174">
        <v>300</v>
      </c>
      <c r="V154" s="143"/>
      <c r="W154" s="143"/>
      <c r="X154" s="143"/>
      <c r="Y154" s="143"/>
      <c r="Z154" s="143"/>
    </row>
    <row r="155" spans="1:26" s="143" customFormat="1">
      <c r="A155" s="143" t="s">
        <v>504</v>
      </c>
      <c r="B155" s="143" t="s">
        <v>98</v>
      </c>
      <c r="C155" s="144">
        <v>39927</v>
      </c>
      <c r="D155" s="144">
        <v>39934</v>
      </c>
      <c r="E155" s="143" t="s">
        <v>505</v>
      </c>
      <c r="G155" s="145">
        <v>78200</v>
      </c>
      <c r="H155" s="143" t="s">
        <v>506</v>
      </c>
      <c r="I155" s="143" t="s">
        <v>23</v>
      </c>
      <c r="J155" s="143" t="s">
        <v>19</v>
      </c>
      <c r="K155" s="143" t="s">
        <v>507</v>
      </c>
      <c r="L155" s="173" t="s">
        <v>508</v>
      </c>
      <c r="N155" s="147" t="s">
        <v>485</v>
      </c>
      <c r="O155" s="148">
        <f>820+70</f>
        <v>890</v>
      </c>
      <c r="Q155" s="143" t="s">
        <v>509</v>
      </c>
      <c r="R155" s="145">
        <v>1</v>
      </c>
      <c r="S155" s="145">
        <v>2</v>
      </c>
      <c r="T155" s="145" t="s">
        <v>509</v>
      </c>
      <c r="U155" s="174">
        <v>205</v>
      </c>
    </row>
    <row r="156" spans="1:26" s="143" customFormat="1">
      <c r="A156" s="219" t="s">
        <v>700</v>
      </c>
      <c r="B156" s="219" t="s">
        <v>95</v>
      </c>
      <c r="C156" s="220">
        <v>40593</v>
      </c>
      <c r="D156" s="220">
        <v>40600</v>
      </c>
      <c r="E156" s="219" t="s">
        <v>701</v>
      </c>
      <c r="F156" s="219"/>
      <c r="G156" s="221">
        <v>28410</v>
      </c>
      <c r="H156" s="219" t="s">
        <v>702</v>
      </c>
      <c r="I156" s="219" t="s">
        <v>23</v>
      </c>
      <c r="J156" s="219" t="s">
        <v>19</v>
      </c>
      <c r="K156" s="219" t="s">
        <v>703</v>
      </c>
      <c r="L156" s="219" t="s">
        <v>703</v>
      </c>
      <c r="M156" s="219"/>
      <c r="N156" s="222" t="s">
        <v>704</v>
      </c>
      <c r="O156" s="223">
        <v>790</v>
      </c>
      <c r="P156" s="219"/>
      <c r="Q156" s="219" t="s">
        <v>705</v>
      </c>
      <c r="R156" s="221">
        <v>1</v>
      </c>
      <c r="S156" s="221">
        <v>4</v>
      </c>
      <c r="T156" s="221">
        <v>0</v>
      </c>
      <c r="U156" s="224">
        <v>400</v>
      </c>
      <c r="V156" s="219"/>
      <c r="W156" s="219"/>
      <c r="X156" s="219"/>
      <c r="Y156" s="219"/>
      <c r="Z156" s="219"/>
    </row>
    <row r="157" spans="1:26" s="143" customFormat="1">
      <c r="A157" s="219" t="s">
        <v>415</v>
      </c>
      <c r="B157" s="219" t="s">
        <v>706</v>
      </c>
      <c r="C157" s="220">
        <v>40642</v>
      </c>
      <c r="D157" s="220">
        <v>40649</v>
      </c>
      <c r="E157" s="219" t="s">
        <v>411</v>
      </c>
      <c r="F157" s="219"/>
      <c r="G157" s="221">
        <v>78690</v>
      </c>
      <c r="H157" s="219" t="s">
        <v>707</v>
      </c>
      <c r="I157" s="219" t="s">
        <v>23</v>
      </c>
      <c r="J157" s="219" t="s">
        <v>19</v>
      </c>
      <c r="K157" s="219" t="s">
        <v>412</v>
      </c>
      <c r="L157" s="219" t="s">
        <v>414</v>
      </c>
      <c r="M157" s="219"/>
      <c r="N157" s="222" t="s">
        <v>413</v>
      </c>
      <c r="O157" s="223">
        <f>790+21</f>
        <v>811</v>
      </c>
      <c r="P157" s="219"/>
      <c r="Q157" s="219" t="s">
        <v>708</v>
      </c>
      <c r="R157" s="221">
        <v>1</v>
      </c>
      <c r="S157" s="221">
        <v>6</v>
      </c>
      <c r="T157" s="221">
        <v>1</v>
      </c>
      <c r="U157" s="224">
        <v>197</v>
      </c>
      <c r="V157" s="219"/>
      <c r="W157" s="219"/>
      <c r="X157" s="219"/>
      <c r="Y157" s="219"/>
      <c r="Z157" s="219"/>
    </row>
    <row r="158" spans="1:26" s="143" customFormat="1">
      <c r="A158" s="219" t="s">
        <v>737</v>
      </c>
      <c r="B158" s="219" t="s">
        <v>738</v>
      </c>
      <c r="C158" s="220">
        <v>40649</v>
      </c>
      <c r="D158" s="220">
        <v>40656</v>
      </c>
      <c r="E158" s="219" t="s">
        <v>739</v>
      </c>
      <c r="F158" s="219"/>
      <c r="G158" s="221">
        <v>8200</v>
      </c>
      <c r="H158" s="219" t="s">
        <v>740</v>
      </c>
      <c r="I158" s="219" t="s">
        <v>23</v>
      </c>
      <c r="J158" s="219" t="s">
        <v>19</v>
      </c>
      <c r="K158" s="219" t="s">
        <v>741</v>
      </c>
      <c r="L158" s="219" t="s">
        <v>742</v>
      </c>
      <c r="M158" s="219"/>
      <c r="N158" s="222" t="s">
        <v>743</v>
      </c>
      <c r="O158" s="223">
        <v>790</v>
      </c>
      <c r="P158" s="219"/>
      <c r="Q158" s="219" t="s">
        <v>744</v>
      </c>
      <c r="R158" s="221">
        <v>1</v>
      </c>
      <c r="S158" s="221">
        <v>7</v>
      </c>
      <c r="T158" s="221">
        <v>0</v>
      </c>
      <c r="U158" s="224">
        <v>198</v>
      </c>
      <c r="V158" s="219"/>
      <c r="W158" s="219"/>
      <c r="X158" s="219"/>
      <c r="Y158" s="219"/>
      <c r="Z158" s="219"/>
    </row>
    <row r="159" spans="1:26" s="143" customFormat="1">
      <c r="A159" s="219" t="s">
        <v>685</v>
      </c>
      <c r="B159" s="219" t="s">
        <v>32</v>
      </c>
      <c r="C159" s="220">
        <v>40663</v>
      </c>
      <c r="D159" s="220">
        <v>40670</v>
      </c>
      <c r="E159" s="219" t="s">
        <v>686</v>
      </c>
      <c r="F159" s="219"/>
      <c r="G159" s="221">
        <v>63450</v>
      </c>
      <c r="H159" s="219" t="s">
        <v>687</v>
      </c>
      <c r="I159" s="219" t="s">
        <v>23</v>
      </c>
      <c r="J159" s="219" t="s">
        <v>19</v>
      </c>
      <c r="K159" s="219" t="s">
        <v>688</v>
      </c>
      <c r="L159" s="219" t="s">
        <v>689</v>
      </c>
      <c r="M159" s="219"/>
      <c r="N159" s="222" t="s">
        <v>690</v>
      </c>
      <c r="O159" s="223">
        <f>790+70</f>
        <v>860</v>
      </c>
      <c r="P159" s="219"/>
      <c r="Q159" s="219" t="s">
        <v>691</v>
      </c>
      <c r="R159" s="221">
        <v>1</v>
      </c>
      <c r="S159" s="221">
        <v>3</v>
      </c>
      <c r="T159" s="221">
        <v>0</v>
      </c>
      <c r="U159" s="224">
        <v>198</v>
      </c>
      <c r="V159" s="219"/>
      <c r="W159" s="219"/>
      <c r="X159" s="219"/>
      <c r="Y159" s="219"/>
      <c r="Z159" s="219"/>
    </row>
    <row r="160" spans="1:26" s="143" customFormat="1">
      <c r="A160" s="219" t="s">
        <v>753</v>
      </c>
      <c r="B160" s="219"/>
      <c r="C160" s="220">
        <v>40679</v>
      </c>
      <c r="D160" s="220">
        <v>40681</v>
      </c>
      <c r="E160" s="219"/>
      <c r="F160" s="219"/>
      <c r="G160" s="221"/>
      <c r="H160" s="219"/>
      <c r="I160" s="219" t="s">
        <v>23</v>
      </c>
      <c r="J160" s="219" t="s">
        <v>19</v>
      </c>
      <c r="K160" s="219"/>
      <c r="L160" s="219"/>
      <c r="M160" s="219"/>
      <c r="N160" s="222" t="s">
        <v>754</v>
      </c>
      <c r="O160" s="223">
        <v>400</v>
      </c>
      <c r="P160" s="219"/>
      <c r="Q160" s="219"/>
      <c r="R160" s="221">
        <v>1</v>
      </c>
      <c r="S160" s="221">
        <v>4</v>
      </c>
      <c r="T160" s="221">
        <v>0</v>
      </c>
      <c r="U160" s="224">
        <v>400</v>
      </c>
      <c r="V160" s="219"/>
      <c r="W160" s="219"/>
      <c r="X160" s="219"/>
      <c r="Y160" s="219"/>
      <c r="Z160" s="219"/>
    </row>
    <row r="161" spans="1:26" s="143" customFormat="1">
      <c r="A161" s="143" t="s">
        <v>729</v>
      </c>
      <c r="B161" s="143" t="s">
        <v>730</v>
      </c>
      <c r="C161" s="144">
        <v>40775</v>
      </c>
      <c r="D161" s="144">
        <v>40789</v>
      </c>
      <c r="E161" s="143" t="s">
        <v>732</v>
      </c>
      <c r="G161" s="145">
        <v>54000</v>
      </c>
      <c r="H161" s="143" t="s">
        <v>733</v>
      </c>
      <c r="I161" s="143" t="s">
        <v>23</v>
      </c>
      <c r="J161" s="143" t="s">
        <v>19</v>
      </c>
      <c r="K161" s="143" t="s">
        <v>734</v>
      </c>
      <c r="L161" s="143" t="s">
        <v>735</v>
      </c>
      <c r="N161" s="147" t="s">
        <v>731</v>
      </c>
      <c r="O161" s="148">
        <f>1590+1390</f>
        <v>2980</v>
      </c>
      <c r="Q161" s="143" t="s">
        <v>736</v>
      </c>
      <c r="R161" s="145">
        <v>2</v>
      </c>
      <c r="S161" s="145">
        <v>4</v>
      </c>
      <c r="T161" s="145"/>
      <c r="U161" s="149">
        <v>745</v>
      </c>
    </row>
    <row r="162" spans="1:26" s="143" customFormat="1">
      <c r="A162" s="143" t="s">
        <v>176</v>
      </c>
      <c r="B162" s="143" t="s">
        <v>177</v>
      </c>
      <c r="C162" s="144">
        <v>40827</v>
      </c>
      <c r="D162" s="144">
        <v>40866</v>
      </c>
      <c r="E162" s="143" t="s">
        <v>175</v>
      </c>
      <c r="G162" s="145">
        <v>41000</v>
      </c>
      <c r="H162" s="143" t="s">
        <v>178</v>
      </c>
      <c r="I162" s="143" t="s">
        <v>23</v>
      </c>
      <c r="J162" s="143" t="s">
        <v>19</v>
      </c>
      <c r="K162" s="143" t="s">
        <v>792</v>
      </c>
      <c r="L162" s="143" t="s">
        <v>808</v>
      </c>
      <c r="N162" s="147" t="s">
        <v>174</v>
      </c>
      <c r="O162" s="148">
        <f>690+70</f>
        <v>760</v>
      </c>
      <c r="Q162" s="143" t="s">
        <v>674</v>
      </c>
      <c r="R162" s="145">
        <v>1</v>
      </c>
      <c r="S162" s="145">
        <v>4</v>
      </c>
      <c r="T162" s="145"/>
      <c r="U162" s="149">
        <v>172.5</v>
      </c>
    </row>
    <row r="163" spans="1:26" s="225" customFormat="1">
      <c r="A163" s="143" t="s">
        <v>780</v>
      </c>
      <c r="B163" s="143" t="s">
        <v>781</v>
      </c>
      <c r="C163" s="144">
        <v>40835</v>
      </c>
      <c r="D163" s="144">
        <v>40848</v>
      </c>
      <c r="E163" s="143" t="s">
        <v>782</v>
      </c>
      <c r="F163" s="143"/>
      <c r="G163" s="145">
        <v>57200</v>
      </c>
      <c r="H163" s="143" t="s">
        <v>783</v>
      </c>
      <c r="I163" s="143" t="s">
        <v>23</v>
      </c>
      <c r="J163" s="143" t="s">
        <v>19</v>
      </c>
      <c r="K163" s="143"/>
      <c r="L163" s="143" t="s">
        <v>809</v>
      </c>
      <c r="M163" s="143"/>
      <c r="N163" s="147" t="s">
        <v>784</v>
      </c>
      <c r="O163" s="148">
        <f>600+600</f>
        <v>1200</v>
      </c>
      <c r="P163" s="143"/>
      <c r="Q163" s="143" t="s">
        <v>199</v>
      </c>
      <c r="R163" s="145">
        <v>2</v>
      </c>
      <c r="S163" s="145">
        <v>2</v>
      </c>
      <c r="T163" s="145">
        <v>2</v>
      </c>
      <c r="U163" s="149">
        <v>300</v>
      </c>
      <c r="V163" s="143"/>
      <c r="W163" s="143"/>
      <c r="X163" s="143"/>
      <c r="Y163" s="143"/>
      <c r="Z163" s="143"/>
    </row>
    <row r="164" spans="1:26" s="143" customFormat="1">
      <c r="A164" s="143" t="s">
        <v>873</v>
      </c>
      <c r="B164" s="143" t="s">
        <v>874</v>
      </c>
      <c r="C164" s="144">
        <v>40978</v>
      </c>
      <c r="D164" s="144">
        <v>40985</v>
      </c>
      <c r="E164" s="143" t="s">
        <v>888</v>
      </c>
      <c r="G164" s="145">
        <v>76190</v>
      </c>
      <c r="H164" s="143" t="s">
        <v>889</v>
      </c>
      <c r="I164" s="143" t="s">
        <v>23</v>
      </c>
      <c r="J164" s="143" t="s">
        <v>19</v>
      </c>
      <c r="K164" s="143" t="s">
        <v>891</v>
      </c>
      <c r="L164" s="143" t="s">
        <v>890</v>
      </c>
      <c r="N164" s="147" t="s">
        <v>871</v>
      </c>
      <c r="O164" s="148">
        <v>690</v>
      </c>
      <c r="R164" s="145">
        <v>1</v>
      </c>
      <c r="S164" s="145" t="s">
        <v>353</v>
      </c>
      <c r="T164" s="145">
        <v>0</v>
      </c>
      <c r="U164" s="236">
        <v>172.25</v>
      </c>
      <c r="V164" s="237">
        <f>O164-U164</f>
        <v>517.75</v>
      </c>
      <c r="W164" s="143" t="s">
        <v>872</v>
      </c>
    </row>
    <row r="165" spans="1:26" s="143" customFormat="1">
      <c r="A165" s="143" t="s">
        <v>486</v>
      </c>
      <c r="B165" s="143" t="s">
        <v>487</v>
      </c>
      <c r="C165" s="144">
        <v>40985</v>
      </c>
      <c r="D165" s="144">
        <v>40992</v>
      </c>
      <c r="E165" s="143" t="s">
        <v>488</v>
      </c>
      <c r="G165" s="145">
        <v>95130</v>
      </c>
      <c r="H165" s="143" t="s">
        <v>489</v>
      </c>
      <c r="I165" s="143" t="s">
        <v>23</v>
      </c>
      <c r="J165" s="143" t="s">
        <v>19</v>
      </c>
      <c r="K165" s="143" t="s">
        <v>490</v>
      </c>
      <c r="L165" s="143" t="s">
        <v>491</v>
      </c>
      <c r="N165" s="147" t="s">
        <v>492</v>
      </c>
      <c r="O165" s="148">
        <v>690</v>
      </c>
      <c r="R165" s="145">
        <v>1</v>
      </c>
      <c r="S165" s="145">
        <v>4</v>
      </c>
      <c r="T165" s="145">
        <v>0</v>
      </c>
      <c r="U165" s="236">
        <f>O165/4</f>
        <v>172.5</v>
      </c>
    </row>
    <row r="166" spans="1:26" s="143" customFormat="1">
      <c r="A166" s="143" t="s">
        <v>827</v>
      </c>
      <c r="B166" s="143" t="s">
        <v>99</v>
      </c>
      <c r="C166" s="144">
        <v>41020</v>
      </c>
      <c r="D166" s="144">
        <v>41027</v>
      </c>
      <c r="E166" s="143" t="s">
        <v>831</v>
      </c>
      <c r="G166" s="145">
        <v>6700</v>
      </c>
      <c r="H166" s="143" t="s">
        <v>832</v>
      </c>
      <c r="I166" s="143" t="s">
        <v>23</v>
      </c>
      <c r="J166" s="143" t="s">
        <v>19</v>
      </c>
      <c r="K166" s="143" t="s">
        <v>833</v>
      </c>
      <c r="L166" s="143" t="s">
        <v>834</v>
      </c>
      <c r="N166" s="147" t="s">
        <v>928</v>
      </c>
      <c r="O166" s="148">
        <v>790</v>
      </c>
      <c r="Q166" s="143" t="s">
        <v>828</v>
      </c>
      <c r="R166" s="145">
        <v>1</v>
      </c>
      <c r="S166" s="145">
        <v>6</v>
      </c>
      <c r="T166" s="145">
        <v>0</v>
      </c>
      <c r="U166" s="236">
        <v>200</v>
      </c>
    </row>
    <row r="167" spans="1:26" s="143" customFormat="1">
      <c r="A167" s="143" t="s">
        <v>504</v>
      </c>
      <c r="B167" s="143" t="s">
        <v>98</v>
      </c>
      <c r="C167" s="144">
        <v>41209</v>
      </c>
      <c r="D167" s="144">
        <v>41216</v>
      </c>
      <c r="E167" s="143" t="s">
        <v>505</v>
      </c>
      <c r="G167" s="145">
        <v>78200</v>
      </c>
      <c r="H167" s="143" t="s">
        <v>506</v>
      </c>
      <c r="I167" s="143" t="s">
        <v>23</v>
      </c>
      <c r="J167" s="143" t="s">
        <v>19</v>
      </c>
      <c r="K167" s="143" t="s">
        <v>507</v>
      </c>
      <c r="L167" s="173" t="s">
        <v>508</v>
      </c>
      <c r="N167" s="147" t="s">
        <v>485</v>
      </c>
      <c r="O167" s="148">
        <f>890+70</f>
        <v>960</v>
      </c>
      <c r="R167" s="145">
        <v>1</v>
      </c>
      <c r="S167" s="145">
        <v>2</v>
      </c>
      <c r="T167" s="145" t="s">
        <v>509</v>
      </c>
      <c r="U167" s="244">
        <v>223</v>
      </c>
      <c r="V167" s="238">
        <v>41102</v>
      </c>
      <c r="W167" s="143" t="s">
        <v>946</v>
      </c>
    </row>
    <row r="168" spans="1:26" s="143" customFormat="1">
      <c r="A168" s="142" t="s">
        <v>1038</v>
      </c>
      <c r="B168" s="143" t="s">
        <v>1039</v>
      </c>
      <c r="C168" s="144">
        <v>41264</v>
      </c>
      <c r="D168" s="144">
        <v>41269</v>
      </c>
      <c r="E168" s="143" t="s">
        <v>1037</v>
      </c>
      <c r="G168" s="145">
        <v>92160</v>
      </c>
      <c r="H168" s="143" t="s">
        <v>1040</v>
      </c>
      <c r="I168" s="143" t="s">
        <v>23</v>
      </c>
      <c r="J168" s="143" t="s">
        <v>19</v>
      </c>
      <c r="K168" s="143" t="s">
        <v>1041</v>
      </c>
      <c r="L168" s="173" t="s">
        <v>1041</v>
      </c>
      <c r="N168" s="147" t="s">
        <v>1042</v>
      </c>
      <c r="O168" s="148">
        <v>760</v>
      </c>
      <c r="Q168" s="143" t="s">
        <v>1043</v>
      </c>
      <c r="R168" s="145">
        <v>1</v>
      </c>
      <c r="S168" s="145">
        <v>2</v>
      </c>
      <c r="T168" s="145"/>
      <c r="U168" s="244">
        <v>0</v>
      </c>
      <c r="V168" s="238"/>
      <c r="W168" s="143" t="s">
        <v>1044</v>
      </c>
    </row>
    <row r="169" spans="1:26" ht="13.2" hidden="1">
      <c r="H169" s="257"/>
      <c r="N169" s="156"/>
      <c r="O169" s="157"/>
      <c r="U169" s="258"/>
    </row>
    <row r="170" spans="1:26" ht="13.2" hidden="1">
      <c r="A170" s="259"/>
      <c r="H170" s="194"/>
      <c r="N170" s="156"/>
      <c r="O170" s="157"/>
      <c r="U170" s="260"/>
      <c r="V170" s="261"/>
    </row>
    <row r="171" spans="1:26" ht="13.8" hidden="1">
      <c r="A171" s="259"/>
      <c r="E171" s="262"/>
      <c r="N171" s="156"/>
      <c r="O171" s="157"/>
      <c r="U171" s="260"/>
      <c r="V171" s="263"/>
    </row>
    <row r="172" spans="1:26" ht="13.8" hidden="1">
      <c r="A172" s="259"/>
      <c r="E172" s="262"/>
      <c r="N172" s="156"/>
      <c r="O172" s="157"/>
      <c r="U172" s="258"/>
      <c r="V172" s="263"/>
    </row>
    <row r="173" spans="1:26" ht="13.8" hidden="1">
      <c r="A173" s="264"/>
      <c r="E173" s="262"/>
      <c r="N173" s="156"/>
      <c r="O173" s="157"/>
      <c r="U173" s="260"/>
      <c r="V173" s="263"/>
    </row>
    <row r="174" spans="1:26" ht="13.2" hidden="1">
      <c r="A174" s="264"/>
      <c r="L174" s="265"/>
      <c r="N174" s="156"/>
      <c r="O174" s="157"/>
      <c r="U174" s="266"/>
      <c r="V174" s="263"/>
    </row>
    <row r="175" spans="1:26" hidden="1">
      <c r="A175" s="153"/>
      <c r="L175" s="265"/>
      <c r="N175" s="156"/>
      <c r="O175" s="157"/>
      <c r="U175" s="266"/>
      <c r="V175" s="263"/>
    </row>
    <row r="176" spans="1:26" ht="13.2" hidden="1">
      <c r="E176" s="194"/>
      <c r="N176" s="267"/>
      <c r="O176" s="157"/>
      <c r="U176" s="268"/>
    </row>
    <row r="177" spans="1:26" ht="13.8" hidden="1">
      <c r="E177" s="262"/>
      <c r="L177" s="269">
        <f>O163-U163</f>
        <v>900</v>
      </c>
      <c r="N177" s="267"/>
      <c r="O177" s="157"/>
      <c r="S177" s="140">
        <f>O166-U166</f>
        <v>590</v>
      </c>
      <c r="U177" s="260"/>
    </row>
    <row r="178" spans="1:26" ht="13.2" hidden="1">
      <c r="E178" s="194"/>
      <c r="N178" s="156"/>
      <c r="O178" s="157"/>
      <c r="U178" s="260"/>
    </row>
    <row r="179" spans="1:26" s="143" customFormat="1">
      <c r="A179" s="245" t="s">
        <v>1002</v>
      </c>
      <c r="B179" s="225" t="s">
        <v>1003</v>
      </c>
      <c r="C179" s="226">
        <v>41266</v>
      </c>
      <c r="D179" s="226">
        <v>41273</v>
      </c>
      <c r="E179" s="225"/>
      <c r="F179" s="225"/>
      <c r="G179" s="227"/>
      <c r="H179" s="225"/>
      <c r="I179" s="225" t="s">
        <v>23</v>
      </c>
      <c r="J179" s="225" t="s">
        <v>19</v>
      </c>
      <c r="K179" s="225"/>
      <c r="L179" s="246"/>
      <c r="M179" s="225"/>
      <c r="N179" s="228" t="s">
        <v>1004</v>
      </c>
      <c r="O179" s="229">
        <v>272.5</v>
      </c>
      <c r="P179" s="225"/>
      <c r="Q179" s="225"/>
      <c r="R179" s="227">
        <v>0</v>
      </c>
      <c r="S179" s="227"/>
      <c r="T179" s="227"/>
      <c r="U179" s="247">
        <v>272.5</v>
      </c>
      <c r="V179" s="248">
        <v>41190</v>
      </c>
      <c r="W179" s="225"/>
      <c r="X179" s="225"/>
      <c r="Y179" s="225"/>
      <c r="Z179" s="225"/>
    </row>
    <row r="180" spans="1:26" hidden="1">
      <c r="N180" s="156"/>
      <c r="O180" s="157"/>
      <c r="U180" s="260"/>
    </row>
    <row r="181" spans="1:26" hidden="1">
      <c r="N181" s="156"/>
      <c r="O181" s="157"/>
      <c r="U181" s="260"/>
    </row>
    <row r="182" spans="1:26" hidden="1">
      <c r="N182" s="156"/>
      <c r="O182" s="157"/>
      <c r="U182" s="260"/>
    </row>
    <row r="183" spans="1:26" ht="13.2" hidden="1">
      <c r="A183" s="136"/>
      <c r="B183" s="136"/>
      <c r="C183" s="137"/>
      <c r="D183" s="137"/>
      <c r="E183" s="194"/>
      <c r="F183" s="136"/>
      <c r="G183" s="138"/>
      <c r="H183" s="136"/>
      <c r="I183" s="136"/>
      <c r="J183" s="136"/>
      <c r="K183" s="136"/>
      <c r="L183" s="161"/>
      <c r="M183" s="136"/>
      <c r="N183" s="161"/>
      <c r="O183" s="136"/>
      <c r="P183" s="136"/>
      <c r="S183" s="138"/>
      <c r="T183" s="138"/>
      <c r="U183" s="235"/>
    </row>
    <row r="184" spans="1:26" ht="10.8" thickBot="1">
      <c r="A184" s="143" t="s">
        <v>961</v>
      </c>
      <c r="B184" s="143" t="s">
        <v>962</v>
      </c>
      <c r="C184" s="144">
        <v>41279</v>
      </c>
      <c r="D184" s="144">
        <v>41289</v>
      </c>
      <c r="E184" s="143" t="s">
        <v>963</v>
      </c>
      <c r="F184" s="143"/>
      <c r="G184" s="145">
        <v>13810</v>
      </c>
      <c r="H184" s="143" t="s">
        <v>964</v>
      </c>
      <c r="I184" s="143" t="s">
        <v>23</v>
      </c>
      <c r="J184" s="143" t="s">
        <v>19</v>
      </c>
      <c r="K184" s="143" t="s">
        <v>965</v>
      </c>
      <c r="L184" s="143" t="s">
        <v>966</v>
      </c>
      <c r="M184" s="143"/>
      <c r="N184" s="147" t="s">
        <v>967</v>
      </c>
      <c r="O184" s="148">
        <f>990+70+60</f>
        <v>1120</v>
      </c>
      <c r="P184" s="143"/>
      <c r="Q184" s="143" t="s">
        <v>968</v>
      </c>
      <c r="R184" s="145">
        <v>2</v>
      </c>
      <c r="S184" s="145" t="s">
        <v>969</v>
      </c>
      <c r="T184" s="145">
        <v>2</v>
      </c>
      <c r="U184" s="586">
        <v>250</v>
      </c>
      <c r="V184" s="251">
        <v>41105</v>
      </c>
      <c r="W184" s="143"/>
      <c r="X184" s="143"/>
      <c r="Y184" s="143"/>
      <c r="Z184" s="143"/>
    </row>
    <row r="185" spans="1:26" ht="10.8" thickBot="1">
      <c r="A185" s="167" t="s">
        <v>1106</v>
      </c>
      <c r="B185" s="534"/>
      <c r="C185" s="144">
        <v>41378</v>
      </c>
      <c r="D185" s="562">
        <v>41388</v>
      </c>
      <c r="E185" s="534" t="s">
        <v>1107</v>
      </c>
      <c r="F185" s="143"/>
      <c r="G185" s="145">
        <v>78120</v>
      </c>
      <c r="H185" s="143" t="s">
        <v>1108</v>
      </c>
      <c r="I185" s="143" t="s">
        <v>23</v>
      </c>
      <c r="J185" s="143" t="s">
        <v>19</v>
      </c>
      <c r="K185" s="143"/>
      <c r="L185" s="143" t="s">
        <v>1109</v>
      </c>
      <c r="M185" s="143"/>
      <c r="N185" s="147" t="s">
        <v>1110</v>
      </c>
      <c r="O185" s="148">
        <f>790+790/2</f>
        <v>1185</v>
      </c>
      <c r="P185" s="143"/>
      <c r="Q185" s="143" t="s">
        <v>1111</v>
      </c>
      <c r="R185" s="145">
        <v>2</v>
      </c>
      <c r="S185" s="145"/>
      <c r="T185" s="145">
        <v>1</v>
      </c>
      <c r="U185" s="586">
        <v>385</v>
      </c>
      <c r="V185" s="238">
        <v>41339</v>
      </c>
      <c r="W185" s="143"/>
      <c r="X185" s="143"/>
      <c r="Y185" s="143"/>
      <c r="Z185" s="143"/>
    </row>
    <row r="186" spans="1:26" ht="10.8" thickBot="1">
      <c r="A186" s="516" t="s">
        <v>1072</v>
      </c>
      <c r="B186" s="538" t="s">
        <v>1073</v>
      </c>
      <c r="C186" s="644">
        <v>41503</v>
      </c>
      <c r="D186" s="650">
        <v>41517</v>
      </c>
      <c r="E186" s="661" t="s">
        <v>1074</v>
      </c>
      <c r="F186" s="225"/>
      <c r="G186" s="227">
        <v>74500</v>
      </c>
      <c r="H186" s="225" t="s">
        <v>1075</v>
      </c>
      <c r="I186" s="225" t="s">
        <v>23</v>
      </c>
      <c r="J186" s="225" t="s">
        <v>19</v>
      </c>
      <c r="K186" s="225" t="s">
        <v>1077</v>
      </c>
      <c r="L186" s="225" t="s">
        <v>1076</v>
      </c>
      <c r="M186" s="225"/>
      <c r="N186" s="228" t="s">
        <v>1078</v>
      </c>
      <c r="O186" s="229">
        <v>745</v>
      </c>
      <c r="P186" s="225"/>
      <c r="Q186" s="225" t="s">
        <v>1079</v>
      </c>
      <c r="R186" s="227">
        <v>0</v>
      </c>
      <c r="S186" s="227" t="s">
        <v>1080</v>
      </c>
      <c r="T186" s="227">
        <v>2</v>
      </c>
      <c r="U186" s="588">
        <f>O186/4</f>
        <v>186.25</v>
      </c>
      <c r="V186" s="256">
        <v>41293</v>
      </c>
      <c r="W186" s="225" t="s">
        <v>1081</v>
      </c>
      <c r="X186" s="225"/>
      <c r="Y186" s="225"/>
      <c r="Z186" s="225"/>
    </row>
    <row r="187" spans="1:26" ht="10.8" thickBot="1">
      <c r="A187" s="143" t="s">
        <v>1245</v>
      </c>
      <c r="B187" s="143" t="s">
        <v>1246</v>
      </c>
      <c r="C187" s="144">
        <v>41699</v>
      </c>
      <c r="D187" s="558">
        <v>41706</v>
      </c>
      <c r="E187" s="530" t="s">
        <v>1248</v>
      </c>
      <c r="F187" s="143"/>
      <c r="G187" s="145">
        <v>60400</v>
      </c>
      <c r="H187" s="143" t="s">
        <v>1249</v>
      </c>
      <c r="I187" s="143" t="s">
        <v>23</v>
      </c>
      <c r="J187" s="143" t="s">
        <v>19</v>
      </c>
      <c r="K187" s="143" t="s">
        <v>1247</v>
      </c>
      <c r="L187" s="173"/>
      <c r="M187" s="143"/>
      <c r="N187" s="147" t="s">
        <v>1250</v>
      </c>
      <c r="O187" s="148">
        <v>600</v>
      </c>
      <c r="P187" s="143"/>
      <c r="Q187" s="143"/>
      <c r="R187" s="145">
        <v>1</v>
      </c>
      <c r="S187" s="145">
        <v>6</v>
      </c>
      <c r="T187" s="145">
        <v>0</v>
      </c>
      <c r="U187" s="600"/>
      <c r="V187" s="238">
        <v>41685</v>
      </c>
      <c r="W187" s="143"/>
      <c r="X187" s="143" t="s">
        <v>1217</v>
      </c>
      <c r="Y187" s="143"/>
      <c r="Z187" s="143"/>
    </row>
    <row r="188" spans="1:26" ht="10.8" thickBot="1">
      <c r="A188" s="508" t="s">
        <v>1205</v>
      </c>
      <c r="B188" s="531" t="s">
        <v>1204</v>
      </c>
      <c r="C188" s="144">
        <v>41755</v>
      </c>
      <c r="D188" s="558">
        <v>41762</v>
      </c>
      <c r="E188" s="530"/>
      <c r="F188" s="143"/>
      <c r="G188" s="145"/>
      <c r="H188" s="143" t="s">
        <v>1206</v>
      </c>
      <c r="I188" s="143" t="s">
        <v>23</v>
      </c>
      <c r="J188" s="143" t="s">
        <v>19</v>
      </c>
      <c r="K188" s="143"/>
      <c r="L188" s="143" t="s">
        <v>1268</v>
      </c>
      <c r="M188" s="143"/>
      <c r="N188" s="147" t="s">
        <v>1203</v>
      </c>
      <c r="O188" s="148">
        <v>790</v>
      </c>
      <c r="P188" s="143"/>
      <c r="Q188" s="143" t="s">
        <v>1207</v>
      </c>
      <c r="R188" s="145">
        <v>1</v>
      </c>
      <c r="S188" s="145" t="s">
        <v>1208</v>
      </c>
      <c r="T188" s="145">
        <v>1</v>
      </c>
      <c r="U188" s="586">
        <f>790/4</f>
        <v>197.5</v>
      </c>
      <c r="V188" s="238">
        <v>41615</v>
      </c>
      <c r="W188" s="143"/>
      <c r="X188" s="143" t="s">
        <v>1154</v>
      </c>
      <c r="Y188" s="143"/>
      <c r="Z188" s="143"/>
    </row>
    <row r="189" spans="1:26" ht="10.8" thickBot="1">
      <c r="A189" s="143" t="s">
        <v>1276</v>
      </c>
      <c r="B189" s="143" t="s">
        <v>1277</v>
      </c>
      <c r="C189" s="144">
        <v>41867</v>
      </c>
      <c r="D189" s="558">
        <v>41874</v>
      </c>
      <c r="E189" s="530" t="s">
        <v>1282</v>
      </c>
      <c r="F189" s="143"/>
      <c r="G189" s="145">
        <v>95550</v>
      </c>
      <c r="H189" s="143" t="s">
        <v>1283</v>
      </c>
      <c r="I189" s="143" t="s">
        <v>23</v>
      </c>
      <c r="J189" s="143" t="s">
        <v>19</v>
      </c>
      <c r="K189" s="143"/>
      <c r="L189" s="143" t="s">
        <v>1284</v>
      </c>
      <c r="M189" s="143"/>
      <c r="N189" s="147" t="s">
        <v>1292</v>
      </c>
      <c r="O189" s="148">
        <v>1350</v>
      </c>
      <c r="P189" s="143"/>
      <c r="Q189" s="143" t="s">
        <v>1278</v>
      </c>
      <c r="R189" s="145">
        <v>1</v>
      </c>
      <c r="S189" s="145" t="s">
        <v>1279</v>
      </c>
      <c r="T189" s="145">
        <v>0</v>
      </c>
      <c r="U189" s="586">
        <v>350</v>
      </c>
      <c r="V189" s="238" t="s">
        <v>1280</v>
      </c>
      <c r="W189" s="143" t="s">
        <v>1281</v>
      </c>
      <c r="X189" s="143" t="s">
        <v>1217</v>
      </c>
      <c r="Y189" s="143"/>
      <c r="Z189" s="143"/>
    </row>
    <row r="190" spans="1:26" ht="13.8" thickBot="1">
      <c r="A190" s="167" t="s">
        <v>1396</v>
      </c>
      <c r="B190" s="534" t="s">
        <v>1395</v>
      </c>
      <c r="C190" s="144">
        <v>42042</v>
      </c>
      <c r="D190" s="559">
        <v>42049</v>
      </c>
      <c r="E190" s="529" t="s">
        <v>1397</v>
      </c>
      <c r="F190" s="143"/>
      <c r="G190" s="145">
        <v>72100</v>
      </c>
      <c r="H190" s="143" t="s">
        <v>1398</v>
      </c>
      <c r="I190" s="143" t="s">
        <v>23</v>
      </c>
      <c r="J190" s="143" t="s">
        <v>19</v>
      </c>
      <c r="K190" s="143" t="s">
        <v>1399</v>
      </c>
      <c r="L190" s="143" t="s">
        <v>1400</v>
      </c>
      <c r="M190" s="143"/>
      <c r="N190" s="253" t="s">
        <v>1402</v>
      </c>
      <c r="O190" s="148">
        <f>690+70</f>
        <v>760</v>
      </c>
      <c r="P190" s="143"/>
      <c r="Q190" s="143" t="s">
        <v>1401</v>
      </c>
      <c r="R190" s="145">
        <v>1</v>
      </c>
      <c r="S190" s="145">
        <v>4</v>
      </c>
      <c r="T190" s="145">
        <v>0</v>
      </c>
      <c r="U190" s="586">
        <v>175</v>
      </c>
      <c r="V190" s="238">
        <v>42032</v>
      </c>
      <c r="W190" s="143" t="s">
        <v>1281</v>
      </c>
      <c r="X190" s="143" t="s">
        <v>1154</v>
      </c>
      <c r="Y190" s="143"/>
      <c r="Z190" s="143"/>
    </row>
    <row r="191" spans="1:26" ht="13.8" thickBot="1">
      <c r="A191" s="207" t="s">
        <v>1391</v>
      </c>
      <c r="B191" s="529" t="s">
        <v>1392</v>
      </c>
      <c r="C191" s="144">
        <v>42063</v>
      </c>
      <c r="D191" s="559">
        <v>42070</v>
      </c>
      <c r="E191" s="529"/>
      <c r="F191" s="143"/>
      <c r="G191" s="145"/>
      <c r="H191" s="143"/>
      <c r="I191" s="143" t="s">
        <v>23</v>
      </c>
      <c r="J191" s="143" t="s">
        <v>19</v>
      </c>
      <c r="K191" s="143" t="s">
        <v>1393</v>
      </c>
      <c r="L191" s="143"/>
      <c r="M191" s="143"/>
      <c r="N191" s="253" t="s">
        <v>1394</v>
      </c>
      <c r="O191" s="148">
        <v>600</v>
      </c>
      <c r="P191" s="143"/>
      <c r="Q191" s="143">
        <v>0</v>
      </c>
      <c r="R191" s="145">
        <v>1</v>
      </c>
      <c r="S191" s="145">
        <v>4</v>
      </c>
      <c r="T191" s="145">
        <v>0</v>
      </c>
      <c r="U191" s="586">
        <v>150</v>
      </c>
      <c r="V191" s="238">
        <v>42024</v>
      </c>
      <c r="W191" s="143" t="s">
        <v>1281</v>
      </c>
      <c r="X191" s="143" t="s">
        <v>1217</v>
      </c>
      <c r="Y191" s="143"/>
      <c r="Z191" s="143"/>
    </row>
    <row r="192" spans="1:26" ht="13.2">
      <c r="A192" s="143" t="s">
        <v>1340</v>
      </c>
      <c r="B192" s="143" t="s">
        <v>1341</v>
      </c>
      <c r="C192" s="144">
        <v>42119</v>
      </c>
      <c r="D192" s="144">
        <v>42126</v>
      </c>
      <c r="E192" s="143" t="s">
        <v>1370</v>
      </c>
      <c r="F192" s="143"/>
      <c r="G192" s="145">
        <v>80560</v>
      </c>
      <c r="H192" s="143" t="s">
        <v>1371</v>
      </c>
      <c r="I192" s="143" t="s">
        <v>23</v>
      </c>
      <c r="J192" s="143" t="s">
        <v>19</v>
      </c>
      <c r="K192" s="143" t="s">
        <v>1373</v>
      </c>
      <c r="L192" s="143" t="s">
        <v>1372</v>
      </c>
      <c r="M192" s="143"/>
      <c r="N192" s="253" t="s">
        <v>1342</v>
      </c>
      <c r="O192" s="148">
        <v>790</v>
      </c>
      <c r="P192" s="143"/>
      <c r="Q192" s="143" t="s">
        <v>1343</v>
      </c>
      <c r="R192" s="145">
        <v>1</v>
      </c>
      <c r="S192" s="145" t="s">
        <v>1374</v>
      </c>
      <c r="T192" s="145">
        <v>0</v>
      </c>
      <c r="U192" s="586">
        <v>197.5</v>
      </c>
      <c r="V192" s="238">
        <v>42333</v>
      </c>
      <c r="W192" s="143" t="s">
        <v>1281</v>
      </c>
      <c r="X192" s="143" t="s">
        <v>1154</v>
      </c>
      <c r="Y192" s="143"/>
      <c r="Z192" s="143"/>
    </row>
    <row r="193" spans="1:26" ht="13.2">
      <c r="A193" s="143" t="s">
        <v>1403</v>
      </c>
      <c r="B193" s="143" t="s">
        <v>1404</v>
      </c>
      <c r="C193" s="144">
        <v>42126</v>
      </c>
      <c r="D193" s="144">
        <v>42133</v>
      </c>
      <c r="E193" s="143" t="s">
        <v>1405</v>
      </c>
      <c r="F193" s="143"/>
      <c r="G193" s="145">
        <v>59740</v>
      </c>
      <c r="H193" s="143" t="s">
        <v>1406</v>
      </c>
      <c r="I193" s="143" t="s">
        <v>23</v>
      </c>
      <c r="J193" s="143" t="s">
        <v>19</v>
      </c>
      <c r="K193" s="143" t="s">
        <v>1407</v>
      </c>
      <c r="L193" s="143" t="s">
        <v>1408</v>
      </c>
      <c r="M193" s="143"/>
      <c r="N193" s="253" t="s">
        <v>1409</v>
      </c>
      <c r="O193" s="148">
        <v>790</v>
      </c>
      <c r="P193" s="143"/>
      <c r="Q193" s="143"/>
      <c r="R193" s="145">
        <v>1</v>
      </c>
      <c r="S193" s="145" t="s">
        <v>1411</v>
      </c>
      <c r="T193" s="145"/>
      <c r="U193" s="586">
        <v>198</v>
      </c>
      <c r="V193" s="238">
        <v>42043</v>
      </c>
      <c r="W193" s="143"/>
      <c r="X193" s="143" t="s">
        <v>1154</v>
      </c>
      <c r="Y193" s="143"/>
      <c r="Z193" s="143"/>
    </row>
    <row r="194" spans="1:26" ht="13.2">
      <c r="A194" s="282" t="s">
        <v>1485</v>
      </c>
      <c r="B194" s="282"/>
      <c r="C194" s="283">
        <v>42364</v>
      </c>
      <c r="D194" s="283">
        <v>42372</v>
      </c>
      <c r="E194" s="282" t="s">
        <v>1490</v>
      </c>
      <c r="F194" s="282"/>
      <c r="G194" s="284">
        <v>29233</v>
      </c>
      <c r="H194" s="282" t="s">
        <v>1486</v>
      </c>
      <c r="I194" s="282" t="s">
        <v>23</v>
      </c>
      <c r="J194" s="282" t="s">
        <v>19</v>
      </c>
      <c r="K194" s="282" t="s">
        <v>1487</v>
      </c>
      <c r="L194" s="282"/>
      <c r="M194" s="282"/>
      <c r="N194" s="285" t="s">
        <v>1488</v>
      </c>
      <c r="O194" s="286">
        <v>1000</v>
      </c>
      <c r="P194" s="282"/>
      <c r="Q194" s="282"/>
      <c r="R194" s="284">
        <v>1</v>
      </c>
      <c r="S194" s="284">
        <v>2</v>
      </c>
      <c r="T194" s="284">
        <v>0</v>
      </c>
      <c r="U194" s="669">
        <v>250</v>
      </c>
      <c r="V194" s="288" t="s">
        <v>1489</v>
      </c>
      <c r="W194" s="282"/>
      <c r="X194" s="282" t="s">
        <v>1217</v>
      </c>
      <c r="Y194" s="282"/>
      <c r="Z194" s="282"/>
    </row>
    <row r="195" spans="1:26" ht="13.2">
      <c r="A195" s="143" t="s">
        <v>1538</v>
      </c>
      <c r="B195" s="143" t="s">
        <v>1539</v>
      </c>
      <c r="C195" s="144">
        <v>42427</v>
      </c>
      <c r="D195" s="144">
        <v>42434</v>
      </c>
      <c r="E195" s="143" t="s">
        <v>1535</v>
      </c>
      <c r="F195" s="143"/>
      <c r="G195" s="145">
        <v>75019</v>
      </c>
      <c r="H195" s="143" t="s">
        <v>1540</v>
      </c>
      <c r="I195" s="143" t="s">
        <v>983</v>
      </c>
      <c r="J195" s="143" t="s">
        <v>19</v>
      </c>
      <c r="K195" s="143" t="s">
        <v>1537</v>
      </c>
      <c r="L195" s="143" t="s">
        <v>1536</v>
      </c>
      <c r="M195" s="143"/>
      <c r="N195" s="253" t="s">
        <v>1541</v>
      </c>
      <c r="O195" s="148">
        <f>690+70</f>
        <v>760</v>
      </c>
      <c r="P195" s="143"/>
      <c r="Q195" s="143" t="s">
        <v>1542</v>
      </c>
      <c r="R195" s="145">
        <v>1</v>
      </c>
      <c r="S195" s="145">
        <v>5</v>
      </c>
      <c r="T195" s="145">
        <v>0</v>
      </c>
      <c r="U195" s="586">
        <v>0</v>
      </c>
      <c r="V195" s="238"/>
      <c r="W195" s="143" t="s">
        <v>1543</v>
      </c>
      <c r="X195" s="143"/>
      <c r="Y195" s="143"/>
      <c r="Z195" s="143"/>
    </row>
    <row r="196" spans="1:26" ht="13.2">
      <c r="A196" s="291" t="s">
        <v>1526</v>
      </c>
      <c r="B196" s="291" t="s">
        <v>1527</v>
      </c>
      <c r="C196" s="292">
        <v>42476</v>
      </c>
      <c r="D196" s="292">
        <v>42483</v>
      </c>
      <c r="E196" s="291" t="s">
        <v>1528</v>
      </c>
      <c r="F196" s="291"/>
      <c r="G196" s="293">
        <v>89210</v>
      </c>
      <c r="H196" s="291" t="s">
        <v>1529</v>
      </c>
      <c r="I196" s="291" t="s">
        <v>23</v>
      </c>
      <c r="J196" s="291" t="s">
        <v>19</v>
      </c>
      <c r="K196" s="291" t="s">
        <v>1530</v>
      </c>
      <c r="L196" s="291" t="s">
        <v>1531</v>
      </c>
      <c r="M196" s="291"/>
      <c r="N196" s="299" t="s">
        <v>1532</v>
      </c>
      <c r="O196" s="295">
        <f>790+21</f>
        <v>811</v>
      </c>
      <c r="P196" s="291"/>
      <c r="Q196" s="291" t="s">
        <v>1401</v>
      </c>
      <c r="R196" s="293">
        <v>1</v>
      </c>
      <c r="S196" s="293" t="s">
        <v>1533</v>
      </c>
      <c r="T196" s="293">
        <v>1</v>
      </c>
      <c r="U196" s="591">
        <v>197.5</v>
      </c>
      <c r="V196" s="298"/>
      <c r="W196" s="291" t="s">
        <v>1281</v>
      </c>
      <c r="X196" s="291"/>
      <c r="Y196" s="291"/>
      <c r="Z196" s="291"/>
    </row>
    <row r="197" spans="1:26" ht="13.2">
      <c r="A197" s="291" t="s">
        <v>1567</v>
      </c>
      <c r="B197" s="291" t="s">
        <v>1568</v>
      </c>
      <c r="C197" s="292">
        <v>42588</v>
      </c>
      <c r="D197" s="292">
        <v>42595</v>
      </c>
      <c r="E197" s="291" t="s">
        <v>1569</v>
      </c>
      <c r="F197" s="291"/>
      <c r="G197" s="293">
        <v>57310</v>
      </c>
      <c r="H197" s="291" t="s">
        <v>1570</v>
      </c>
      <c r="I197" s="291" t="s">
        <v>23</v>
      </c>
      <c r="J197" s="291" t="s">
        <v>19</v>
      </c>
      <c r="K197" s="291" t="s">
        <v>1571</v>
      </c>
      <c r="L197" s="291"/>
      <c r="M197" s="291"/>
      <c r="N197" s="294" t="s">
        <v>1572</v>
      </c>
      <c r="O197" s="295">
        <v>1990</v>
      </c>
      <c r="P197" s="291"/>
      <c r="Q197" s="291" t="s">
        <v>1573</v>
      </c>
      <c r="R197" s="293">
        <v>1</v>
      </c>
      <c r="S197" s="293">
        <v>5</v>
      </c>
      <c r="T197" s="293"/>
      <c r="U197" s="591">
        <v>500</v>
      </c>
      <c r="V197" s="298">
        <v>42470</v>
      </c>
      <c r="W197" s="291" t="s">
        <v>1281</v>
      </c>
      <c r="X197" s="291" t="s">
        <v>1154</v>
      </c>
      <c r="Y197" s="291"/>
      <c r="Z197" s="291"/>
    </row>
    <row r="198" spans="1:26" ht="11.55" customHeight="1">
      <c r="A198" s="291" t="s">
        <v>486</v>
      </c>
      <c r="B198" s="291" t="s">
        <v>1620</v>
      </c>
      <c r="C198" s="292">
        <v>42658</v>
      </c>
      <c r="D198" s="292">
        <v>42665</v>
      </c>
      <c r="E198" s="291" t="s">
        <v>488</v>
      </c>
      <c r="F198" s="291"/>
      <c r="G198" s="293">
        <v>95130</v>
      </c>
      <c r="H198" s="291" t="s">
        <v>489</v>
      </c>
      <c r="I198" s="291" t="s">
        <v>23</v>
      </c>
      <c r="J198" s="291" t="s">
        <v>19</v>
      </c>
      <c r="K198" s="291" t="s">
        <v>490</v>
      </c>
      <c r="L198" s="291" t="s">
        <v>491</v>
      </c>
      <c r="M198" s="291"/>
      <c r="N198" s="324" t="s">
        <v>492</v>
      </c>
      <c r="O198" s="295">
        <v>690</v>
      </c>
      <c r="P198" s="291"/>
      <c r="Q198" s="291"/>
      <c r="R198" s="293">
        <v>1</v>
      </c>
      <c r="S198" s="293">
        <v>4</v>
      </c>
      <c r="T198" s="293">
        <v>0</v>
      </c>
      <c r="U198" s="591">
        <f>O198/4</f>
        <v>172.5</v>
      </c>
      <c r="V198" s="291"/>
      <c r="W198" s="291"/>
      <c r="X198" s="291"/>
      <c r="Y198" s="291"/>
      <c r="Z198" s="291"/>
    </row>
    <row r="199" spans="1:26" ht="13.2">
      <c r="A199" s="325" t="s">
        <v>1624</v>
      </c>
      <c r="B199" s="325" t="s">
        <v>1625</v>
      </c>
      <c r="C199" s="326">
        <v>42727</v>
      </c>
      <c r="D199" s="326">
        <v>42734</v>
      </c>
      <c r="E199" s="325" t="s">
        <v>1626</v>
      </c>
      <c r="F199" s="325"/>
      <c r="G199" s="327">
        <v>49220</v>
      </c>
      <c r="H199" s="325" t="s">
        <v>1627</v>
      </c>
      <c r="I199" s="325" t="s">
        <v>23</v>
      </c>
      <c r="J199" s="325" t="s">
        <v>19</v>
      </c>
      <c r="K199" s="325"/>
      <c r="L199" s="325" t="s">
        <v>1628</v>
      </c>
      <c r="M199" s="325"/>
      <c r="N199" s="328" t="s">
        <v>1629</v>
      </c>
      <c r="O199" s="329">
        <v>272.5</v>
      </c>
      <c r="P199" s="325"/>
      <c r="Q199" s="325" t="s">
        <v>1025</v>
      </c>
      <c r="R199" s="327">
        <v>0</v>
      </c>
      <c r="S199" s="327" t="s">
        <v>199</v>
      </c>
      <c r="T199" s="327">
        <v>1</v>
      </c>
      <c r="U199" s="330">
        <f>1090/4</f>
        <v>272.5</v>
      </c>
      <c r="V199" s="331"/>
      <c r="W199" s="325"/>
      <c r="X199" s="325"/>
      <c r="Y199" s="325"/>
      <c r="Z199" s="325"/>
    </row>
    <row r="200" spans="1:26" s="143" customFormat="1" ht="13.2">
      <c r="A200" s="291" t="s">
        <v>1687</v>
      </c>
      <c r="B200" s="291" t="s">
        <v>304</v>
      </c>
      <c r="C200" s="292">
        <v>42806</v>
      </c>
      <c r="D200" s="292">
        <v>42819</v>
      </c>
      <c r="E200" s="291" t="s">
        <v>1681</v>
      </c>
      <c r="F200" s="291"/>
      <c r="G200" s="293">
        <v>95230</v>
      </c>
      <c r="H200" s="291" t="s">
        <v>1682</v>
      </c>
      <c r="I200" s="291" t="s">
        <v>23</v>
      </c>
      <c r="J200" s="291" t="s">
        <v>19</v>
      </c>
      <c r="K200" s="291"/>
      <c r="L200" s="291" t="s">
        <v>1683</v>
      </c>
      <c r="M200" s="291"/>
      <c r="N200" s="294" t="s">
        <v>1684</v>
      </c>
      <c r="O200" s="295">
        <f>690*2+42+70</f>
        <v>1492</v>
      </c>
      <c r="P200" s="291"/>
      <c r="Q200" s="291" t="s">
        <v>1685</v>
      </c>
      <c r="R200" s="293">
        <v>2</v>
      </c>
      <c r="S200" s="293">
        <v>2</v>
      </c>
      <c r="T200" s="293">
        <v>1</v>
      </c>
      <c r="U200" s="296">
        <v>355.5</v>
      </c>
      <c r="V200" s="298">
        <v>42778</v>
      </c>
      <c r="W200" s="291" t="s">
        <v>1686</v>
      </c>
      <c r="X200" s="291"/>
      <c r="Y200" s="291"/>
      <c r="Z200" s="291"/>
    </row>
    <row r="201" spans="1:26" s="143" customFormat="1" ht="13.2">
      <c r="A201" s="291" t="s">
        <v>1722</v>
      </c>
      <c r="B201" s="291" t="s">
        <v>1723</v>
      </c>
      <c r="C201" s="292">
        <v>42966</v>
      </c>
      <c r="D201" s="292">
        <v>42973</v>
      </c>
      <c r="E201" s="291" t="s">
        <v>1724</v>
      </c>
      <c r="F201" s="291"/>
      <c r="G201" s="293">
        <v>27220</v>
      </c>
      <c r="H201" s="291" t="s">
        <v>1725</v>
      </c>
      <c r="I201" s="291" t="s">
        <v>23</v>
      </c>
      <c r="J201" s="291" t="s">
        <v>19</v>
      </c>
      <c r="K201" s="291"/>
      <c r="L201" s="291" t="s">
        <v>1726</v>
      </c>
      <c r="M201" s="291"/>
      <c r="N201" s="294" t="s">
        <v>1727</v>
      </c>
      <c r="O201" s="295">
        <v>1790</v>
      </c>
      <c r="P201" s="291"/>
      <c r="Q201" s="291" t="s">
        <v>1728</v>
      </c>
      <c r="R201" s="293">
        <v>1</v>
      </c>
      <c r="S201" s="293">
        <v>4</v>
      </c>
      <c r="T201" s="293">
        <v>1</v>
      </c>
      <c r="U201" s="296">
        <v>447.5</v>
      </c>
      <c r="V201" s="298"/>
      <c r="W201" s="291"/>
      <c r="X201" s="291"/>
      <c r="Y201" s="291"/>
      <c r="Z201" s="291"/>
    </row>
    <row r="202" spans="1:26" s="143" customFormat="1" ht="13.2">
      <c r="A202" s="372" t="s">
        <v>1391</v>
      </c>
      <c r="B202" s="372" t="s">
        <v>1392</v>
      </c>
      <c r="C202" s="373">
        <v>43157</v>
      </c>
      <c r="D202" s="373">
        <v>43161</v>
      </c>
      <c r="E202" s="372"/>
      <c r="F202" s="372"/>
      <c r="G202" s="374"/>
      <c r="H202" s="372"/>
      <c r="I202" s="372" t="s">
        <v>23</v>
      </c>
      <c r="J202" s="372" t="s">
        <v>19</v>
      </c>
      <c r="K202" s="372" t="s">
        <v>1393</v>
      </c>
      <c r="L202" s="372"/>
      <c r="M202" s="372"/>
      <c r="N202" s="375" t="s">
        <v>1394</v>
      </c>
      <c r="O202" s="376">
        <v>600</v>
      </c>
      <c r="P202" s="372"/>
      <c r="Q202" s="355" t="s">
        <v>1910</v>
      </c>
      <c r="R202" s="374">
        <v>1</v>
      </c>
      <c r="S202" s="374">
        <v>3</v>
      </c>
      <c r="T202" s="374">
        <v>0</v>
      </c>
      <c r="U202" s="377">
        <v>0</v>
      </c>
      <c r="V202" s="378">
        <v>42024</v>
      </c>
      <c r="W202" s="372" t="s">
        <v>1281</v>
      </c>
      <c r="X202" s="372" t="s">
        <v>1217</v>
      </c>
      <c r="Y202" s="372"/>
      <c r="Z202" s="372"/>
    </row>
    <row r="203" spans="1:26" s="143" customFormat="1">
      <c r="A203" s="355" t="s">
        <v>486</v>
      </c>
      <c r="B203" s="355" t="s">
        <v>1620</v>
      </c>
      <c r="C203" s="357">
        <v>43204</v>
      </c>
      <c r="D203" s="357">
        <v>43211</v>
      </c>
      <c r="E203" s="355" t="s">
        <v>488</v>
      </c>
      <c r="F203" s="355"/>
      <c r="G203" s="358">
        <v>95130</v>
      </c>
      <c r="H203" s="355" t="s">
        <v>489</v>
      </c>
      <c r="I203" s="355" t="s">
        <v>23</v>
      </c>
      <c r="J203" s="355" t="s">
        <v>19</v>
      </c>
      <c r="K203" s="355" t="s">
        <v>490</v>
      </c>
      <c r="L203" s="355" t="s">
        <v>491</v>
      </c>
      <c r="M203" s="355"/>
      <c r="N203" s="365" t="s">
        <v>492</v>
      </c>
      <c r="O203" s="359">
        <v>790</v>
      </c>
      <c r="P203" s="355"/>
      <c r="Q203" s="355"/>
      <c r="R203" s="358">
        <v>1</v>
      </c>
      <c r="S203" s="358" t="s">
        <v>1809</v>
      </c>
      <c r="T203" s="358">
        <v>0</v>
      </c>
      <c r="U203" s="356" t="s">
        <v>1832</v>
      </c>
      <c r="V203" s="355">
        <v>43033</v>
      </c>
      <c r="W203" s="355" t="s">
        <v>1519</v>
      </c>
      <c r="X203" s="355" t="s">
        <v>1154</v>
      </c>
      <c r="Y203" s="355"/>
      <c r="Z203" s="355"/>
    </row>
    <row r="204" spans="1:26" s="143" customFormat="1">
      <c r="A204" s="355" t="s">
        <v>486</v>
      </c>
      <c r="B204" s="355" t="s">
        <v>1620</v>
      </c>
      <c r="C204" s="357">
        <v>43407</v>
      </c>
      <c r="D204" s="357">
        <v>43414</v>
      </c>
      <c r="E204" s="355" t="s">
        <v>488</v>
      </c>
      <c r="F204" s="355"/>
      <c r="G204" s="358">
        <v>95130</v>
      </c>
      <c r="H204" s="355" t="s">
        <v>489</v>
      </c>
      <c r="I204" s="355" t="s">
        <v>23</v>
      </c>
      <c r="J204" s="355" t="s">
        <v>19</v>
      </c>
      <c r="K204" s="355" t="s">
        <v>490</v>
      </c>
      <c r="L204" s="355" t="s">
        <v>491</v>
      </c>
      <c r="M204" s="355"/>
      <c r="N204" s="365" t="s">
        <v>492</v>
      </c>
      <c r="O204" s="359">
        <v>690</v>
      </c>
      <c r="P204" s="355"/>
      <c r="Q204" s="355"/>
      <c r="R204" s="358">
        <v>1</v>
      </c>
      <c r="S204" s="358" t="s">
        <v>1809</v>
      </c>
      <c r="T204" s="358">
        <v>0</v>
      </c>
      <c r="U204" s="356" t="s">
        <v>1832</v>
      </c>
      <c r="V204" s="355">
        <v>43033</v>
      </c>
      <c r="W204" s="355" t="s">
        <v>1519</v>
      </c>
      <c r="X204" s="355" t="s">
        <v>1154</v>
      </c>
      <c r="Y204" s="355"/>
      <c r="Z204" s="355"/>
    </row>
    <row r="205" spans="1:26" s="143" customFormat="1">
      <c r="A205" s="139" t="s">
        <v>260</v>
      </c>
      <c r="B205" s="139" t="s">
        <v>24</v>
      </c>
      <c r="C205" s="349">
        <v>38388</v>
      </c>
      <c r="D205" s="349">
        <v>38395</v>
      </c>
      <c r="E205" s="139" t="s">
        <v>314</v>
      </c>
      <c r="F205" s="139"/>
      <c r="G205" s="140">
        <v>59320</v>
      </c>
      <c r="H205" s="139" t="s">
        <v>315</v>
      </c>
      <c r="I205" s="139" t="s">
        <v>23</v>
      </c>
      <c r="J205" s="139" t="s">
        <v>19</v>
      </c>
      <c r="K205" s="139" t="s">
        <v>316</v>
      </c>
      <c r="L205" s="139"/>
      <c r="M205" s="139"/>
      <c r="N205" s="156" t="s">
        <v>261</v>
      </c>
      <c r="O205" s="351">
        <v>520</v>
      </c>
      <c r="P205" s="139"/>
      <c r="Q205" s="139"/>
      <c r="R205" s="140">
        <v>1</v>
      </c>
      <c r="S205" s="140" t="s">
        <v>317</v>
      </c>
      <c r="T205" s="140"/>
      <c r="U205" s="185" t="s">
        <v>232</v>
      </c>
      <c r="V205" s="139"/>
      <c r="W205" s="139"/>
      <c r="X205" s="139"/>
      <c r="Y205" s="139"/>
      <c r="Z205" s="139"/>
    </row>
    <row r="206" spans="1:26" s="143" customFormat="1">
      <c r="A206" s="139" t="s">
        <v>265</v>
      </c>
      <c r="B206" s="139" t="s">
        <v>266</v>
      </c>
      <c r="C206" s="349">
        <v>38395</v>
      </c>
      <c r="D206" s="349">
        <v>38402</v>
      </c>
      <c r="E206" s="139" t="s">
        <v>318</v>
      </c>
      <c r="F206" s="139"/>
      <c r="G206" s="140">
        <v>60112</v>
      </c>
      <c r="H206" s="139" t="s">
        <v>319</v>
      </c>
      <c r="I206" s="139" t="s">
        <v>23</v>
      </c>
      <c r="J206" s="139" t="s">
        <v>19</v>
      </c>
      <c r="K206" s="139">
        <v>344067096</v>
      </c>
      <c r="L206" s="139"/>
      <c r="M206" s="139"/>
      <c r="N206" s="156" t="s">
        <v>267</v>
      </c>
      <c r="O206" s="351">
        <v>520</v>
      </c>
      <c r="P206" s="139"/>
      <c r="Q206" s="139"/>
      <c r="R206" s="140">
        <v>1</v>
      </c>
      <c r="S206" s="140">
        <v>6</v>
      </c>
      <c r="T206" s="140"/>
      <c r="U206" s="185" t="s">
        <v>232</v>
      </c>
      <c r="V206" s="139"/>
      <c r="W206" s="139"/>
      <c r="X206" s="139"/>
      <c r="Y206" s="139"/>
      <c r="Z206" s="139"/>
    </row>
    <row r="207" spans="1:26" s="143" customFormat="1">
      <c r="A207" s="139" t="s">
        <v>276</v>
      </c>
      <c r="B207" s="139" t="s">
        <v>280</v>
      </c>
      <c r="C207" s="352">
        <v>38451</v>
      </c>
      <c r="D207" s="352">
        <v>38458</v>
      </c>
      <c r="E207" s="139" t="s">
        <v>324</v>
      </c>
      <c r="F207" s="139"/>
      <c r="G207" s="140">
        <v>77500</v>
      </c>
      <c r="H207" s="139" t="s">
        <v>325</v>
      </c>
      <c r="I207" s="139" t="s">
        <v>23</v>
      </c>
      <c r="J207" s="139" t="s">
        <v>19</v>
      </c>
      <c r="K207" s="139" t="s">
        <v>281</v>
      </c>
      <c r="L207" s="139"/>
      <c r="M207" s="139"/>
      <c r="N207" s="156" t="s">
        <v>282</v>
      </c>
      <c r="O207" s="157">
        <v>520</v>
      </c>
      <c r="P207" s="139"/>
      <c r="Q207" s="139"/>
      <c r="R207" s="140">
        <v>1</v>
      </c>
      <c r="S207" s="140">
        <v>6</v>
      </c>
      <c r="T207" s="140"/>
      <c r="U207" s="185" t="s">
        <v>232</v>
      </c>
      <c r="V207" s="139"/>
      <c r="W207" s="139"/>
      <c r="X207" s="139"/>
      <c r="Y207" s="139"/>
      <c r="Z207" s="139"/>
    </row>
    <row r="208" spans="1:26" s="143" customFormat="1">
      <c r="A208" s="139" t="s">
        <v>272</v>
      </c>
      <c r="B208" s="139" t="s">
        <v>273</v>
      </c>
      <c r="C208" s="352">
        <v>38458</v>
      </c>
      <c r="D208" s="352">
        <v>38465</v>
      </c>
      <c r="E208" s="139" t="s">
        <v>326</v>
      </c>
      <c r="F208" s="139"/>
      <c r="G208" s="140">
        <v>25250</v>
      </c>
      <c r="H208" s="139" t="s">
        <v>327</v>
      </c>
      <c r="I208" s="139" t="s">
        <v>23</v>
      </c>
      <c r="J208" s="139" t="s">
        <v>19</v>
      </c>
      <c r="K208" s="139" t="s">
        <v>274</v>
      </c>
      <c r="L208" s="139"/>
      <c r="M208" s="139"/>
      <c r="N208" s="156" t="s">
        <v>275</v>
      </c>
      <c r="O208" s="157">
        <v>520</v>
      </c>
      <c r="P208" s="139"/>
      <c r="Q208" s="139"/>
      <c r="R208" s="140">
        <v>1</v>
      </c>
      <c r="S208" s="140">
        <v>8</v>
      </c>
      <c r="T208" s="140"/>
      <c r="U208" s="185" t="s">
        <v>232</v>
      </c>
      <c r="V208" s="139"/>
      <c r="W208" s="139"/>
      <c r="X208" s="139"/>
      <c r="Y208" s="139"/>
      <c r="Z208" s="139"/>
    </row>
    <row r="209" spans="1:26" s="143" customFormat="1">
      <c r="A209" s="139" t="s">
        <v>228</v>
      </c>
      <c r="B209" s="139" t="s">
        <v>201</v>
      </c>
      <c r="C209" s="352">
        <v>38465</v>
      </c>
      <c r="D209" s="352">
        <v>38479</v>
      </c>
      <c r="E209" s="139" t="s">
        <v>200</v>
      </c>
      <c r="F209" s="139"/>
      <c r="G209" s="140">
        <v>91210</v>
      </c>
      <c r="H209" s="139" t="s">
        <v>229</v>
      </c>
      <c r="I209" s="139" t="s">
        <v>23</v>
      </c>
      <c r="J209" s="139" t="s">
        <v>19</v>
      </c>
      <c r="K209" s="139" t="s">
        <v>230</v>
      </c>
      <c r="L209" s="139"/>
      <c r="M209" s="139"/>
      <c r="N209" s="156"/>
      <c r="O209" s="157">
        <v>1040</v>
      </c>
      <c r="P209" s="139"/>
      <c r="Q209" s="139"/>
      <c r="R209" s="140">
        <v>2</v>
      </c>
      <c r="S209" s="140">
        <v>4</v>
      </c>
      <c r="T209" s="140"/>
      <c r="U209" s="185" t="s">
        <v>232</v>
      </c>
      <c r="V209" s="139"/>
      <c r="W209" s="139"/>
      <c r="X209" s="139"/>
      <c r="Y209" s="139"/>
      <c r="Z209" s="139"/>
    </row>
    <row r="210" spans="1:26" s="143" customFormat="1">
      <c r="A210" s="139" t="s">
        <v>343</v>
      </c>
      <c r="B210" s="139" t="s">
        <v>344</v>
      </c>
      <c r="C210" s="352">
        <v>38542</v>
      </c>
      <c r="D210" s="352">
        <v>38556</v>
      </c>
      <c r="E210" s="139"/>
      <c r="F210" s="139"/>
      <c r="G210" s="140"/>
      <c r="H210" s="139"/>
      <c r="I210" s="139" t="s">
        <v>23</v>
      </c>
      <c r="J210" s="139" t="s">
        <v>19</v>
      </c>
      <c r="K210" s="139"/>
      <c r="L210" s="139"/>
      <c r="M210" s="139"/>
      <c r="N210" s="156" t="s">
        <v>342</v>
      </c>
      <c r="O210" s="157">
        <v>2200</v>
      </c>
      <c r="P210" s="139"/>
      <c r="Q210" s="139"/>
      <c r="R210" s="140">
        <v>2</v>
      </c>
      <c r="S210" s="140"/>
      <c r="T210" s="140"/>
      <c r="U210" s="185" t="s">
        <v>232</v>
      </c>
      <c r="V210" s="139"/>
      <c r="W210" s="139"/>
      <c r="X210" s="139"/>
      <c r="Y210" s="139"/>
      <c r="Z210" s="139"/>
    </row>
    <row r="211" spans="1:26" s="143" customFormat="1">
      <c r="A211" s="139" t="s">
        <v>276</v>
      </c>
      <c r="B211" s="139" t="s">
        <v>277</v>
      </c>
      <c r="C211" s="352">
        <v>38598</v>
      </c>
      <c r="D211" s="352">
        <v>38605</v>
      </c>
      <c r="E211" s="139" t="s">
        <v>337</v>
      </c>
      <c r="F211" s="139"/>
      <c r="G211" s="140">
        <v>44150</v>
      </c>
      <c r="H211" s="139" t="s">
        <v>338</v>
      </c>
      <c r="I211" s="139" t="s">
        <v>23</v>
      </c>
      <c r="J211" s="139" t="s">
        <v>19</v>
      </c>
      <c r="K211" s="139" t="s">
        <v>279</v>
      </c>
      <c r="L211" s="139">
        <v>679076284</v>
      </c>
      <c r="M211" s="139"/>
      <c r="N211" s="156" t="s">
        <v>278</v>
      </c>
      <c r="O211" s="157">
        <v>520</v>
      </c>
      <c r="P211" s="139"/>
      <c r="Q211" s="139"/>
      <c r="R211" s="140">
        <v>1</v>
      </c>
      <c r="S211" s="140">
        <v>2</v>
      </c>
      <c r="T211" s="140">
        <v>1</v>
      </c>
      <c r="U211" s="185" t="s">
        <v>232</v>
      </c>
      <c r="V211" s="139"/>
      <c r="W211" s="139"/>
      <c r="X211" s="139"/>
      <c r="Y211" s="139"/>
      <c r="Z211" s="139"/>
    </row>
    <row r="212" spans="1:26" s="143" customFormat="1">
      <c r="A212" s="139" t="s">
        <v>297</v>
      </c>
      <c r="B212" s="139" t="s">
        <v>298</v>
      </c>
      <c r="C212" s="154">
        <v>38549</v>
      </c>
      <c r="D212" s="154">
        <v>38563</v>
      </c>
      <c r="E212" s="139" t="s">
        <v>299</v>
      </c>
      <c r="F212" s="139"/>
      <c r="G212" s="140">
        <v>54190</v>
      </c>
      <c r="H212" s="139" t="s">
        <v>300</v>
      </c>
      <c r="I212" s="139" t="s">
        <v>23</v>
      </c>
      <c r="J212" s="139" t="s">
        <v>19</v>
      </c>
      <c r="K212" s="139" t="s">
        <v>301</v>
      </c>
      <c r="L212" s="139"/>
      <c r="M212" s="139"/>
      <c r="N212" s="156" t="s">
        <v>302</v>
      </c>
      <c r="O212" s="136">
        <v>1300</v>
      </c>
      <c r="P212" s="139"/>
      <c r="Q212" s="139"/>
      <c r="R212" s="140">
        <v>2</v>
      </c>
      <c r="S212" s="140">
        <v>2</v>
      </c>
      <c r="T212" s="140">
        <v>1</v>
      </c>
      <c r="U212" s="185" t="s">
        <v>232</v>
      </c>
      <c r="V212" s="139"/>
      <c r="W212" s="139"/>
      <c r="X212" s="139"/>
      <c r="Y212" s="139"/>
      <c r="Z212" s="139"/>
    </row>
    <row r="213" spans="1:26" s="143" customFormat="1">
      <c r="A213" s="139" t="s">
        <v>303</v>
      </c>
      <c r="B213" s="139" t="s">
        <v>246</v>
      </c>
      <c r="C213" s="154">
        <v>38563</v>
      </c>
      <c r="D213" s="154">
        <v>38577</v>
      </c>
      <c r="E213" s="139" t="s">
        <v>251</v>
      </c>
      <c r="F213" s="139"/>
      <c r="G213" s="140">
        <v>42000</v>
      </c>
      <c r="H213" s="139" t="s">
        <v>247</v>
      </c>
      <c r="I213" s="139" t="s">
        <v>23</v>
      </c>
      <c r="J213" s="139" t="s">
        <v>19</v>
      </c>
      <c r="K213" s="139" t="s">
        <v>248</v>
      </c>
      <c r="L213" s="139" t="s">
        <v>249</v>
      </c>
      <c r="M213" s="139"/>
      <c r="N213" s="156" t="s">
        <v>250</v>
      </c>
      <c r="O213" s="136">
        <v>1300</v>
      </c>
      <c r="P213" s="139"/>
      <c r="Q213" s="139"/>
      <c r="R213" s="140">
        <v>2</v>
      </c>
      <c r="S213" s="140">
        <v>3</v>
      </c>
      <c r="T213" s="140"/>
      <c r="U213" s="185" t="s">
        <v>232</v>
      </c>
      <c r="V213" s="139"/>
      <c r="W213" s="139"/>
      <c r="X213" s="139"/>
      <c r="Y213" s="139"/>
      <c r="Z213" s="139"/>
    </row>
    <row r="214" spans="1:26" s="143" customFormat="1">
      <c r="A214" s="139" t="s">
        <v>283</v>
      </c>
      <c r="B214" s="139" t="s">
        <v>284</v>
      </c>
      <c r="C214" s="349">
        <v>38381</v>
      </c>
      <c r="D214" s="349">
        <v>38388</v>
      </c>
      <c r="E214" s="139" t="s">
        <v>340</v>
      </c>
      <c r="F214" s="139"/>
      <c r="G214" s="140"/>
      <c r="H214" s="139" t="s">
        <v>341</v>
      </c>
      <c r="I214" s="139" t="s">
        <v>212</v>
      </c>
      <c r="J214" s="139" t="s">
        <v>180</v>
      </c>
      <c r="K214" s="350" t="s">
        <v>296</v>
      </c>
      <c r="L214" s="139"/>
      <c r="M214" s="139"/>
      <c r="N214" s="156" t="s">
        <v>285</v>
      </c>
      <c r="O214" s="351">
        <v>460</v>
      </c>
      <c r="P214" s="139"/>
      <c r="Q214" s="139"/>
      <c r="R214" s="140">
        <v>1</v>
      </c>
      <c r="S214" s="140">
        <v>2</v>
      </c>
      <c r="T214" s="140"/>
      <c r="U214" s="185" t="s">
        <v>232</v>
      </c>
      <c r="V214" s="139"/>
      <c r="W214" s="139"/>
      <c r="X214" s="139"/>
      <c r="Y214" s="139"/>
      <c r="Z214" s="139"/>
    </row>
    <row r="215" spans="1:26" s="143" customFormat="1">
      <c r="A215" s="139" t="s">
        <v>264</v>
      </c>
      <c r="B215" s="139" t="s">
        <v>263</v>
      </c>
      <c r="C215" s="352">
        <v>38584</v>
      </c>
      <c r="D215" s="352">
        <v>38598</v>
      </c>
      <c r="E215" s="139" t="s">
        <v>334</v>
      </c>
      <c r="F215" s="139"/>
      <c r="G215" s="140"/>
      <c r="H215" s="139" t="s">
        <v>335</v>
      </c>
      <c r="I215" s="139" t="s">
        <v>212</v>
      </c>
      <c r="J215" s="139" t="s">
        <v>180</v>
      </c>
      <c r="K215" s="139" t="s">
        <v>336</v>
      </c>
      <c r="L215" s="139"/>
      <c r="M215" s="139"/>
      <c r="N215" s="156" t="s">
        <v>262</v>
      </c>
      <c r="O215" s="157">
        <f>960+720</f>
        <v>1680</v>
      </c>
      <c r="P215" s="139"/>
      <c r="Q215" s="139"/>
      <c r="R215" s="140">
        <v>2</v>
      </c>
      <c r="S215" s="140">
        <v>5</v>
      </c>
      <c r="T215" s="140"/>
      <c r="U215" s="185" t="s">
        <v>232</v>
      </c>
      <c r="V215" s="139"/>
      <c r="W215" s="139"/>
      <c r="X215" s="139"/>
      <c r="Y215" s="139"/>
      <c r="Z215" s="139"/>
    </row>
    <row r="216" spans="1:26" s="271" customFormat="1" ht="13.2">
      <c r="A216" s="291" t="s">
        <v>1556</v>
      </c>
      <c r="B216" s="291" t="s">
        <v>1557</v>
      </c>
      <c r="C216" s="292">
        <v>42595</v>
      </c>
      <c r="D216" s="292">
        <v>42602</v>
      </c>
      <c r="E216" s="291" t="s">
        <v>1558</v>
      </c>
      <c r="F216" s="291"/>
      <c r="G216" s="293" t="s">
        <v>1559</v>
      </c>
      <c r="H216" s="291" t="s">
        <v>1560</v>
      </c>
      <c r="I216" s="291" t="s">
        <v>1561</v>
      </c>
      <c r="J216" s="291" t="s">
        <v>180</v>
      </c>
      <c r="K216" s="291"/>
      <c r="L216" s="291" t="s">
        <v>1430</v>
      </c>
      <c r="M216" s="291"/>
      <c r="N216" s="294" t="s">
        <v>1562</v>
      </c>
      <c r="O216" s="295">
        <f>1990+20</f>
        <v>2010</v>
      </c>
      <c r="P216" s="291"/>
      <c r="Q216" s="291" t="s">
        <v>1563</v>
      </c>
      <c r="R216" s="293">
        <v>1</v>
      </c>
      <c r="S216" s="293" t="s">
        <v>1564</v>
      </c>
      <c r="T216" s="293">
        <v>1</v>
      </c>
      <c r="U216" s="296">
        <v>500</v>
      </c>
      <c r="V216" s="298">
        <v>42451</v>
      </c>
      <c r="W216" s="291" t="s">
        <v>1565</v>
      </c>
      <c r="X216" s="291" t="s">
        <v>1154</v>
      </c>
      <c r="Y216" s="291"/>
      <c r="Z216" s="291"/>
    </row>
    <row r="217" spans="1:26" s="143" customFormat="1" ht="13.2">
      <c r="A217" s="372" t="s">
        <v>1556</v>
      </c>
      <c r="B217" s="372" t="s">
        <v>1557</v>
      </c>
      <c r="C217" s="357">
        <v>43302</v>
      </c>
      <c r="D217" s="357">
        <v>43309</v>
      </c>
      <c r="E217" s="372" t="s">
        <v>1558</v>
      </c>
      <c r="F217" s="372"/>
      <c r="G217" s="374" t="s">
        <v>1559</v>
      </c>
      <c r="H217" s="372" t="s">
        <v>1560</v>
      </c>
      <c r="I217" s="372" t="s">
        <v>1561</v>
      </c>
      <c r="J217" s="372" t="s">
        <v>180</v>
      </c>
      <c r="K217" s="372"/>
      <c r="L217" s="372" t="s">
        <v>1430</v>
      </c>
      <c r="M217" s="372"/>
      <c r="N217" s="401" t="s">
        <v>1562</v>
      </c>
      <c r="O217" s="376">
        <v>1990</v>
      </c>
      <c r="P217" s="372"/>
      <c r="Q217" s="372" t="s">
        <v>1563</v>
      </c>
      <c r="R217" s="374">
        <v>1</v>
      </c>
      <c r="S217" s="374" t="s">
        <v>1564</v>
      </c>
      <c r="T217" s="374">
        <v>1</v>
      </c>
      <c r="U217" s="377"/>
      <c r="V217" s="378">
        <v>43153</v>
      </c>
      <c r="W217" s="355" t="s">
        <v>1911</v>
      </c>
      <c r="X217" s="372" t="s">
        <v>1154</v>
      </c>
      <c r="Y217" s="372"/>
      <c r="Z217" s="372"/>
    </row>
    <row r="218" spans="1:26" ht="12" customHeight="1" thickBot="1">
      <c r="A218" s="291" t="s">
        <v>1658</v>
      </c>
      <c r="B218" s="291" t="s">
        <v>1659</v>
      </c>
      <c r="C218" s="292">
        <v>42882</v>
      </c>
      <c r="D218" s="292">
        <v>42889</v>
      </c>
      <c r="E218" s="291" t="s">
        <v>1660</v>
      </c>
      <c r="F218" s="291"/>
      <c r="G218" s="293" t="s">
        <v>1661</v>
      </c>
      <c r="H218" s="291" t="s">
        <v>18</v>
      </c>
      <c r="I218" s="291" t="s">
        <v>1662</v>
      </c>
      <c r="J218" s="291" t="s">
        <v>51</v>
      </c>
      <c r="K218" s="291" t="s">
        <v>1663</v>
      </c>
      <c r="L218" s="291" t="s">
        <v>1664</v>
      </c>
      <c r="M218" s="291"/>
      <c r="N218" s="294" t="s">
        <v>1761</v>
      </c>
      <c r="O218" s="295">
        <v>1090</v>
      </c>
      <c r="P218" s="291"/>
      <c r="Q218" s="291"/>
      <c r="R218" s="293">
        <v>1</v>
      </c>
      <c r="S218" s="293">
        <v>2</v>
      </c>
      <c r="T218" s="293">
        <v>1</v>
      </c>
      <c r="U218" s="296">
        <v>272.5</v>
      </c>
      <c r="V218" s="298">
        <v>42750</v>
      </c>
      <c r="W218" s="291" t="s">
        <v>1665</v>
      </c>
      <c r="X218" s="291"/>
      <c r="Y218" s="291"/>
      <c r="Z218" s="291"/>
    </row>
    <row r="219" spans="1:26" ht="10.8" hidden="1" thickBot="1">
      <c r="N219" s="156"/>
      <c r="O219" s="157"/>
      <c r="U219" s="258"/>
      <c r="V219" s="261"/>
    </row>
    <row r="220" spans="1:26" ht="10.8" hidden="1" thickBot="1">
      <c r="N220" s="156"/>
      <c r="O220" s="157"/>
      <c r="U220" s="258"/>
      <c r="V220" s="261"/>
    </row>
    <row r="221" spans="1:26" ht="10.8" hidden="1" thickBot="1">
      <c r="N221" s="156"/>
      <c r="O221" s="157"/>
      <c r="U221" s="258"/>
      <c r="V221" s="261"/>
    </row>
    <row r="222" spans="1:26" ht="10.8" hidden="1" thickBot="1">
      <c r="N222" s="156"/>
      <c r="O222" s="157"/>
      <c r="U222" s="258"/>
      <c r="V222" s="263"/>
    </row>
    <row r="223" spans="1:26" ht="10.8" hidden="1" thickBot="1">
      <c r="N223" s="156"/>
      <c r="O223" s="157"/>
      <c r="U223" s="258"/>
      <c r="V223" s="261"/>
    </row>
    <row r="224" spans="1:26" ht="10.8" hidden="1" thickBot="1">
      <c r="A224" s="153"/>
      <c r="N224" s="156"/>
      <c r="O224" s="157"/>
      <c r="U224" s="158"/>
    </row>
    <row r="225" spans="1:22" ht="13.8" hidden="1" thickBot="1">
      <c r="H225" s="257"/>
      <c r="N225" s="156"/>
      <c r="O225" s="157"/>
      <c r="U225" s="258"/>
    </row>
    <row r="226" spans="1:22" ht="13.8" hidden="1" thickBot="1">
      <c r="A226" s="259"/>
      <c r="H226" s="194"/>
      <c r="N226" s="156"/>
      <c r="O226" s="157"/>
      <c r="U226" s="260"/>
      <c r="V226" s="261"/>
    </row>
    <row r="227" spans="1:22" ht="14.4" hidden="1" thickBot="1">
      <c r="A227" s="259"/>
      <c r="E227" s="262"/>
      <c r="N227" s="156"/>
      <c r="O227" s="157"/>
      <c r="U227" s="260"/>
      <c r="V227" s="263"/>
    </row>
    <row r="228" spans="1:22" ht="14.4" hidden="1" thickBot="1">
      <c r="A228" s="259"/>
      <c r="E228" s="262"/>
      <c r="N228" s="156"/>
      <c r="O228" s="157"/>
      <c r="U228" s="258"/>
      <c r="V228" s="263"/>
    </row>
    <row r="229" spans="1:22" ht="14.4" hidden="1" thickBot="1">
      <c r="A229" s="264"/>
      <c r="E229" s="262"/>
      <c r="N229" s="156"/>
      <c r="O229" s="157"/>
      <c r="U229" s="260"/>
      <c r="V229" s="263"/>
    </row>
    <row r="230" spans="1:22" ht="13.8" hidden="1" thickBot="1">
      <c r="A230" s="264"/>
      <c r="L230" s="265"/>
      <c r="N230" s="156"/>
      <c r="O230" s="157"/>
      <c r="U230" s="266"/>
      <c r="V230" s="263"/>
    </row>
    <row r="231" spans="1:22" ht="10.8" hidden="1" thickBot="1">
      <c r="A231" s="153"/>
      <c r="L231" s="265"/>
      <c r="N231" s="156"/>
      <c r="O231" s="157"/>
      <c r="U231" s="266"/>
      <c r="V231" s="263"/>
    </row>
    <row r="232" spans="1:22" ht="13.8" hidden="1" thickBot="1">
      <c r="E232" s="194"/>
      <c r="N232" s="267"/>
      <c r="O232" s="157"/>
      <c r="U232" s="268"/>
    </row>
    <row r="233" spans="1:22" ht="14.4" hidden="1" thickBot="1">
      <c r="E233" s="262"/>
      <c r="L233" s="269">
        <f>O221-U221</f>
        <v>0</v>
      </c>
      <c r="N233" s="267"/>
      <c r="O233" s="157"/>
      <c r="S233" s="140">
        <f>O223-U223</f>
        <v>0</v>
      </c>
      <c r="U233" s="260"/>
    </row>
    <row r="234" spans="1:22" ht="13.8" hidden="1" thickBot="1">
      <c r="E234" s="194"/>
      <c r="N234" s="156"/>
      <c r="O234" s="157"/>
      <c r="U234" s="260"/>
    </row>
    <row r="235" spans="1:22" ht="14.4" hidden="1" thickBot="1">
      <c r="E235" s="262"/>
      <c r="N235" s="156"/>
      <c r="O235" s="157"/>
      <c r="U235" s="278"/>
    </row>
    <row r="236" spans="1:22" ht="10.8" hidden="1" thickBot="1">
      <c r="N236" s="156"/>
      <c r="O236" s="157"/>
      <c r="U236" s="260"/>
    </row>
    <row r="237" spans="1:22" ht="10.8" hidden="1" thickBot="1">
      <c r="N237" s="156"/>
      <c r="O237" s="157"/>
      <c r="U237" s="260"/>
    </row>
    <row r="238" spans="1:22" ht="10.8" hidden="1" thickBot="1">
      <c r="N238" s="156"/>
      <c r="O238" s="157"/>
      <c r="U238" s="260"/>
    </row>
    <row r="239" spans="1:22" ht="13.8" hidden="1" thickBot="1">
      <c r="A239" s="136"/>
      <c r="B239" s="136"/>
      <c r="C239" s="137"/>
      <c r="D239" s="137"/>
      <c r="E239" s="194"/>
      <c r="F239" s="136"/>
      <c r="G239" s="138"/>
      <c r="H239" s="136"/>
      <c r="I239" s="136"/>
      <c r="J239" s="136"/>
      <c r="K239" s="136"/>
      <c r="L239" s="136"/>
      <c r="M239" s="136"/>
      <c r="N239" s="136"/>
      <c r="O239" s="136"/>
      <c r="P239" s="136"/>
      <c r="S239" s="138"/>
      <c r="T239" s="138"/>
      <c r="U239" s="235"/>
    </row>
    <row r="240" spans="1:22" ht="10.8" hidden="1" thickBot="1">
      <c r="A240" s="136"/>
      <c r="B240" s="161"/>
      <c r="C240" s="137"/>
      <c r="D240" s="137"/>
      <c r="F240" s="136"/>
      <c r="G240" s="138"/>
      <c r="H240" s="136"/>
      <c r="I240" s="136"/>
      <c r="J240" s="136"/>
      <c r="K240" s="136"/>
      <c r="L240" s="136"/>
      <c r="M240" s="136"/>
      <c r="N240" s="136"/>
      <c r="O240" s="161"/>
      <c r="P240" s="136"/>
      <c r="S240" s="138"/>
      <c r="T240" s="138"/>
      <c r="U240" s="235"/>
      <c r="V240" s="213"/>
    </row>
    <row r="241" spans="1:26" ht="10.8" thickBot="1">
      <c r="A241" s="167" t="s">
        <v>541</v>
      </c>
      <c r="B241" s="534"/>
      <c r="C241" s="144">
        <v>40047</v>
      </c>
      <c r="D241" s="562">
        <v>40054</v>
      </c>
      <c r="E241" s="534" t="s">
        <v>542</v>
      </c>
      <c r="F241" s="143"/>
      <c r="G241" s="145">
        <v>4970</v>
      </c>
      <c r="H241" s="143" t="s">
        <v>543</v>
      </c>
      <c r="I241" s="143" t="s">
        <v>54</v>
      </c>
      <c r="J241" s="143" t="s">
        <v>19</v>
      </c>
      <c r="K241" s="143" t="s">
        <v>544</v>
      </c>
      <c r="L241" s="173" t="s">
        <v>545</v>
      </c>
      <c r="M241" s="143"/>
      <c r="N241" s="580" t="s">
        <v>546</v>
      </c>
      <c r="O241" s="581">
        <f>1190+70</f>
        <v>1260</v>
      </c>
      <c r="P241" s="143"/>
      <c r="Q241" s="143" t="s">
        <v>547</v>
      </c>
      <c r="R241" s="145">
        <v>1</v>
      </c>
      <c r="S241" s="145">
        <v>4</v>
      </c>
      <c r="T241" s="145"/>
      <c r="U241" s="590">
        <v>300</v>
      </c>
      <c r="V241" s="143"/>
      <c r="W241" s="143"/>
      <c r="X241" s="143"/>
      <c r="Y241" s="143"/>
      <c r="Z241" s="143"/>
    </row>
    <row r="242" spans="1:26" ht="10.8" thickBot="1">
      <c r="A242" s="207" t="s">
        <v>601</v>
      </c>
      <c r="B242" s="529" t="s">
        <v>347</v>
      </c>
      <c r="C242" s="546">
        <v>40320</v>
      </c>
      <c r="D242" s="558">
        <v>40327</v>
      </c>
      <c r="E242" s="530" t="s">
        <v>348</v>
      </c>
      <c r="F242" s="143"/>
      <c r="G242" s="145" t="s">
        <v>349</v>
      </c>
      <c r="H242" s="143" t="s">
        <v>350</v>
      </c>
      <c r="I242" s="143" t="s">
        <v>54</v>
      </c>
      <c r="J242" s="143" t="s">
        <v>19</v>
      </c>
      <c r="K242" s="143"/>
      <c r="L242" s="143" t="s">
        <v>351</v>
      </c>
      <c r="M242" s="143"/>
      <c r="N242" s="147" t="s">
        <v>352</v>
      </c>
      <c r="O242" s="204">
        <f>790+70</f>
        <v>860</v>
      </c>
      <c r="P242" s="143"/>
      <c r="Q242" s="173" t="s">
        <v>612</v>
      </c>
      <c r="R242" s="145">
        <v>1</v>
      </c>
      <c r="S242" s="145">
        <v>6</v>
      </c>
      <c r="T242" s="145">
        <v>1</v>
      </c>
      <c r="U242" s="604">
        <f>O242/4</f>
        <v>215</v>
      </c>
      <c r="V242" s="143"/>
      <c r="W242" s="143"/>
      <c r="X242" s="143"/>
      <c r="Y242" s="143"/>
      <c r="Z242" s="143"/>
    </row>
    <row r="243" spans="1:26" ht="10.8" thickBot="1">
      <c r="A243" s="219" t="s">
        <v>601</v>
      </c>
      <c r="B243" s="219" t="s">
        <v>347</v>
      </c>
      <c r="C243" s="220">
        <v>40690</v>
      </c>
      <c r="D243" s="658">
        <v>40698</v>
      </c>
      <c r="E243" s="666" t="s">
        <v>348</v>
      </c>
      <c r="F243" s="219"/>
      <c r="G243" s="221" t="s">
        <v>349</v>
      </c>
      <c r="H243" s="219" t="s">
        <v>350</v>
      </c>
      <c r="I243" s="219" t="s">
        <v>54</v>
      </c>
      <c r="J243" s="219" t="s">
        <v>19</v>
      </c>
      <c r="K243" s="219"/>
      <c r="L243" s="219" t="s">
        <v>351</v>
      </c>
      <c r="M243" s="219"/>
      <c r="N243" s="222" t="s">
        <v>352</v>
      </c>
      <c r="O243" s="223">
        <f>890+70</f>
        <v>960</v>
      </c>
      <c r="P243" s="219"/>
      <c r="Q243" s="219" t="s">
        <v>766</v>
      </c>
      <c r="R243" s="221">
        <v>1</v>
      </c>
      <c r="S243" s="221">
        <v>6</v>
      </c>
      <c r="T243" s="221">
        <v>1</v>
      </c>
      <c r="U243" s="597">
        <v>222.5</v>
      </c>
      <c r="V243" s="219"/>
      <c r="W243" s="219"/>
      <c r="X243" s="219"/>
      <c r="Y243" s="219"/>
      <c r="Z243" s="219"/>
    </row>
    <row r="244" spans="1:26" ht="10.8" thickBot="1">
      <c r="A244" s="508" t="s">
        <v>846</v>
      </c>
      <c r="B244" s="531" t="s">
        <v>847</v>
      </c>
      <c r="C244" s="144">
        <v>41055</v>
      </c>
      <c r="D244" s="558">
        <v>41062</v>
      </c>
      <c r="E244" s="530" t="s">
        <v>848</v>
      </c>
      <c r="F244" s="143"/>
      <c r="G244" s="145" t="s">
        <v>849</v>
      </c>
      <c r="H244" s="143" t="s">
        <v>850</v>
      </c>
      <c r="I244" s="143" t="s">
        <v>54</v>
      </c>
      <c r="J244" s="143" t="s">
        <v>19</v>
      </c>
      <c r="K244" s="143"/>
      <c r="L244" s="143" t="s">
        <v>851</v>
      </c>
      <c r="M244" s="143"/>
      <c r="N244" s="147" t="s">
        <v>852</v>
      </c>
      <c r="O244" s="148">
        <f>890</f>
        <v>890</v>
      </c>
      <c r="P244" s="143"/>
      <c r="Q244" s="143" t="s">
        <v>853</v>
      </c>
      <c r="R244" s="145">
        <v>1</v>
      </c>
      <c r="S244" s="145">
        <v>6</v>
      </c>
      <c r="T244" s="145"/>
      <c r="U244" s="586">
        <v>250</v>
      </c>
      <c r="V244" s="238">
        <v>40940</v>
      </c>
      <c r="W244" s="143" t="s">
        <v>865</v>
      </c>
      <c r="X244" s="143"/>
      <c r="Y244" s="143"/>
      <c r="Z244" s="143"/>
    </row>
    <row r="245" spans="1:26" ht="10.8" thickBot="1">
      <c r="A245" s="143" t="s">
        <v>1062</v>
      </c>
      <c r="B245" s="143" t="s">
        <v>1063</v>
      </c>
      <c r="C245" s="144">
        <v>41440</v>
      </c>
      <c r="D245" s="558">
        <v>41452</v>
      </c>
      <c r="E245" s="530" t="s">
        <v>1064</v>
      </c>
      <c r="F245" s="143"/>
      <c r="G245" s="145" t="s">
        <v>1065</v>
      </c>
      <c r="H245" s="143"/>
      <c r="I245" s="143" t="s">
        <v>54</v>
      </c>
      <c r="J245" s="143" t="s">
        <v>19</v>
      </c>
      <c r="K245" s="143" t="s">
        <v>1067</v>
      </c>
      <c r="L245" s="143" t="s">
        <v>1066</v>
      </c>
      <c r="M245" s="143"/>
      <c r="N245" s="147" t="s">
        <v>1068</v>
      </c>
      <c r="O245" s="148">
        <f>1190+3*12+810</f>
        <v>2036</v>
      </c>
      <c r="P245" s="143"/>
      <c r="Q245" s="143" t="s">
        <v>1069</v>
      </c>
      <c r="R245" s="145">
        <v>2</v>
      </c>
      <c r="S245" s="145" t="s">
        <v>1070</v>
      </c>
      <c r="T245" s="145">
        <v>1</v>
      </c>
      <c r="U245" s="586">
        <f>O245/4</f>
        <v>509</v>
      </c>
      <c r="V245" s="238">
        <v>41302</v>
      </c>
      <c r="W245" s="143" t="s">
        <v>1071</v>
      </c>
      <c r="X245" s="143"/>
      <c r="Y245" s="143"/>
      <c r="Z245" s="143"/>
    </row>
    <row r="246" spans="1:26" ht="10.8" thickBot="1">
      <c r="A246" s="167" t="s">
        <v>1062</v>
      </c>
      <c r="B246" s="534" t="s">
        <v>1063</v>
      </c>
      <c r="C246" s="144">
        <v>41874</v>
      </c>
      <c r="D246" s="559">
        <v>41888</v>
      </c>
      <c r="E246" s="529" t="s">
        <v>1064</v>
      </c>
      <c r="F246" s="143"/>
      <c r="G246" s="145" t="s">
        <v>1065</v>
      </c>
      <c r="H246" s="143"/>
      <c r="I246" s="143" t="s">
        <v>54</v>
      </c>
      <c r="J246" s="143" t="s">
        <v>19</v>
      </c>
      <c r="K246" s="143" t="s">
        <v>1067</v>
      </c>
      <c r="L246" s="143" t="s">
        <v>1066</v>
      </c>
      <c r="M246" s="143"/>
      <c r="N246" s="147" t="s">
        <v>1068</v>
      </c>
      <c r="O246" s="148">
        <f>1590+1290</f>
        <v>2880</v>
      </c>
      <c r="P246" s="143"/>
      <c r="Q246" s="143" t="s">
        <v>1183</v>
      </c>
      <c r="R246" s="145">
        <v>2</v>
      </c>
      <c r="S246" s="145" t="s">
        <v>1070</v>
      </c>
      <c r="T246" s="145">
        <v>1</v>
      </c>
      <c r="U246" s="586">
        <f>O246/4</f>
        <v>720</v>
      </c>
      <c r="V246" s="238">
        <v>41302</v>
      </c>
      <c r="W246" s="143" t="s">
        <v>1071</v>
      </c>
      <c r="X246" s="143"/>
      <c r="Y246" s="143"/>
      <c r="Z246" s="143"/>
    </row>
    <row r="247" spans="1:26" ht="13.8" thickBot="1">
      <c r="A247" s="207" t="s">
        <v>1347</v>
      </c>
      <c r="B247" s="529" t="s">
        <v>1346</v>
      </c>
      <c r="C247" s="144">
        <v>42098</v>
      </c>
      <c r="D247" s="559">
        <v>42112</v>
      </c>
      <c r="E247" s="529" t="s">
        <v>1349</v>
      </c>
      <c r="F247" s="143"/>
      <c r="G247" s="145" t="s">
        <v>1350</v>
      </c>
      <c r="H247" s="143" t="s">
        <v>300</v>
      </c>
      <c r="I247" s="143" t="s">
        <v>54</v>
      </c>
      <c r="J247" s="143" t="s">
        <v>19</v>
      </c>
      <c r="K247" s="143" t="s">
        <v>1351</v>
      </c>
      <c r="L247" s="143" t="s">
        <v>1352</v>
      </c>
      <c r="M247" s="143"/>
      <c r="N247" s="281" t="s">
        <v>1344</v>
      </c>
      <c r="O247" s="148">
        <f>790+790</f>
        <v>1580</v>
      </c>
      <c r="P247" s="143"/>
      <c r="Q247" s="143" t="s">
        <v>1348</v>
      </c>
      <c r="R247" s="145">
        <v>2</v>
      </c>
      <c r="S247" s="145" t="s">
        <v>1353</v>
      </c>
      <c r="T247" s="145">
        <v>0</v>
      </c>
      <c r="U247" s="586">
        <v>395</v>
      </c>
      <c r="V247" s="240">
        <v>41968</v>
      </c>
      <c r="W247" s="238" t="s">
        <v>1345</v>
      </c>
      <c r="X247" s="143" t="s">
        <v>1154</v>
      </c>
      <c r="Y247" s="143"/>
      <c r="Z247" s="143"/>
    </row>
    <row r="248" spans="1:26" ht="13.8" thickBot="1">
      <c r="A248" s="207" t="s">
        <v>1062</v>
      </c>
      <c r="B248" s="208" t="s">
        <v>1063</v>
      </c>
      <c r="C248" s="209">
        <v>42231</v>
      </c>
      <c r="D248" s="209">
        <v>42245</v>
      </c>
      <c r="E248" s="208" t="s">
        <v>1064</v>
      </c>
      <c r="F248" s="208"/>
      <c r="G248" s="210" t="s">
        <v>1065</v>
      </c>
      <c r="H248" s="208"/>
      <c r="I248" s="208" t="s">
        <v>54</v>
      </c>
      <c r="J248" s="208" t="s">
        <v>19</v>
      </c>
      <c r="K248" s="208" t="s">
        <v>1067</v>
      </c>
      <c r="L248" s="208" t="s">
        <v>1066</v>
      </c>
      <c r="M248" s="208"/>
      <c r="N248" s="430" t="s">
        <v>1068</v>
      </c>
      <c r="O248" s="212">
        <f>1790+1590</f>
        <v>3380</v>
      </c>
      <c r="P248" s="208"/>
      <c r="Q248" s="208" t="s">
        <v>1183</v>
      </c>
      <c r="R248" s="210">
        <v>2</v>
      </c>
      <c r="S248" s="210" t="s">
        <v>1070</v>
      </c>
      <c r="T248" s="210">
        <v>1</v>
      </c>
      <c r="U248" s="608"/>
      <c r="V248" s="238">
        <v>42003</v>
      </c>
      <c r="W248" s="143" t="s">
        <v>1071</v>
      </c>
      <c r="X248" s="143" t="s">
        <v>1154</v>
      </c>
      <c r="Y248" s="143"/>
      <c r="Z248" s="143"/>
    </row>
    <row r="249" spans="1:26" ht="108.6" customHeight="1">
      <c r="A249" s="143" t="s">
        <v>1354</v>
      </c>
      <c r="B249" s="143" t="s">
        <v>188</v>
      </c>
      <c r="C249" s="144">
        <v>42245</v>
      </c>
      <c r="D249" s="144">
        <v>42252</v>
      </c>
      <c r="E249" s="143" t="s">
        <v>1355</v>
      </c>
      <c r="F249" s="143"/>
      <c r="G249" s="145" t="s">
        <v>1356</v>
      </c>
      <c r="H249" s="143" t="s">
        <v>1357</v>
      </c>
      <c r="I249" s="143" t="s">
        <v>54</v>
      </c>
      <c r="J249" s="143" t="s">
        <v>19</v>
      </c>
      <c r="K249" s="143" t="s">
        <v>1358</v>
      </c>
      <c r="L249" s="143" t="s">
        <v>1359</v>
      </c>
      <c r="M249" s="143"/>
      <c r="N249" s="253" t="s">
        <v>1360</v>
      </c>
      <c r="O249" s="148">
        <v>1390</v>
      </c>
      <c r="P249" s="143"/>
      <c r="Q249" s="143" t="s">
        <v>1361</v>
      </c>
      <c r="R249" s="145">
        <v>1</v>
      </c>
      <c r="S249" s="145" t="s">
        <v>1362</v>
      </c>
      <c r="T249" s="145">
        <v>1</v>
      </c>
      <c r="U249" s="586">
        <v>374.5</v>
      </c>
      <c r="V249" s="238">
        <v>41969</v>
      </c>
      <c r="W249" s="143" t="s">
        <v>1338</v>
      </c>
      <c r="X249" s="143" t="s">
        <v>1154</v>
      </c>
      <c r="Y249" s="143"/>
      <c r="Z249" s="143"/>
    </row>
    <row r="250" spans="1:26" ht="11.55" customHeight="1">
      <c r="A250" s="143" t="s">
        <v>1347</v>
      </c>
      <c r="B250" s="143" t="s">
        <v>1346</v>
      </c>
      <c r="C250" s="144">
        <v>42307</v>
      </c>
      <c r="D250" s="144">
        <v>42315</v>
      </c>
      <c r="E250" s="143" t="s">
        <v>1349</v>
      </c>
      <c r="F250" s="143"/>
      <c r="G250" s="145" t="s">
        <v>1350</v>
      </c>
      <c r="H250" s="143" t="s">
        <v>300</v>
      </c>
      <c r="I250" s="143" t="s">
        <v>54</v>
      </c>
      <c r="J250" s="143" t="s">
        <v>19</v>
      </c>
      <c r="K250" s="143" t="s">
        <v>1351</v>
      </c>
      <c r="L250" s="143" t="s">
        <v>1352</v>
      </c>
      <c r="M250" s="143"/>
      <c r="N250" s="281" t="s">
        <v>1344</v>
      </c>
      <c r="O250" s="148">
        <v>790</v>
      </c>
      <c r="P250" s="143"/>
      <c r="Q250" s="143" t="s">
        <v>1348</v>
      </c>
      <c r="R250" s="145">
        <v>1</v>
      </c>
      <c r="S250" s="145" t="s">
        <v>1451</v>
      </c>
      <c r="T250" s="145">
        <v>0</v>
      </c>
      <c r="U250" s="586">
        <v>400</v>
      </c>
      <c r="V250" s="240">
        <v>41968</v>
      </c>
      <c r="W250" s="238" t="s">
        <v>1345</v>
      </c>
      <c r="X250" s="143" t="s">
        <v>1154</v>
      </c>
      <c r="Y250" s="143"/>
      <c r="Z250" s="143"/>
    </row>
    <row r="251" spans="1:26" ht="13.2">
      <c r="A251" s="143" t="s">
        <v>1062</v>
      </c>
      <c r="B251" s="143" t="s">
        <v>1063</v>
      </c>
      <c r="C251" s="144">
        <v>42462</v>
      </c>
      <c r="D251" s="144">
        <v>42469</v>
      </c>
      <c r="E251" s="143" t="s">
        <v>1064</v>
      </c>
      <c r="F251" s="143"/>
      <c r="G251" s="145" t="s">
        <v>1065</v>
      </c>
      <c r="H251" s="143"/>
      <c r="I251" s="143" t="s">
        <v>54</v>
      </c>
      <c r="J251" s="143" t="s">
        <v>19</v>
      </c>
      <c r="K251" s="143" t="s">
        <v>1067</v>
      </c>
      <c r="L251" s="143" t="s">
        <v>1066</v>
      </c>
      <c r="M251" s="143"/>
      <c r="N251" s="253" t="s">
        <v>1068</v>
      </c>
      <c r="O251" s="148">
        <f>U251*4+50</f>
        <v>840</v>
      </c>
      <c r="P251" s="143"/>
      <c r="Q251" s="143" t="s">
        <v>1183</v>
      </c>
      <c r="R251" s="145">
        <v>1</v>
      </c>
      <c r="S251" s="145" t="s">
        <v>1518</v>
      </c>
      <c r="T251" s="145">
        <v>1</v>
      </c>
      <c r="U251" s="236">
        <v>197.5</v>
      </c>
      <c r="V251" s="238" t="s">
        <v>1519</v>
      </c>
      <c r="W251" s="143" t="s">
        <v>1071</v>
      </c>
      <c r="X251" s="143" t="s">
        <v>1154</v>
      </c>
      <c r="Y251" s="143"/>
      <c r="Z251" s="143"/>
    </row>
    <row r="252" spans="1:26" s="143" customFormat="1" ht="13.2">
      <c r="A252" s="291" t="s">
        <v>1062</v>
      </c>
      <c r="B252" s="291" t="s">
        <v>1063</v>
      </c>
      <c r="C252" s="292">
        <v>42833</v>
      </c>
      <c r="D252" s="292">
        <v>42840</v>
      </c>
      <c r="E252" s="291" t="s">
        <v>1064</v>
      </c>
      <c r="F252" s="291"/>
      <c r="G252" s="293" t="s">
        <v>1065</v>
      </c>
      <c r="H252" s="291" t="s">
        <v>54</v>
      </c>
      <c r="I252" s="291" t="s">
        <v>54</v>
      </c>
      <c r="J252" s="291" t="s">
        <v>19</v>
      </c>
      <c r="K252" s="291" t="s">
        <v>1067</v>
      </c>
      <c r="L252" s="291" t="s">
        <v>1066</v>
      </c>
      <c r="M252" s="291"/>
      <c r="N252" s="299" t="s">
        <v>1068</v>
      </c>
      <c r="O252" s="295">
        <f>U252*4</f>
        <v>790</v>
      </c>
      <c r="P252" s="291"/>
      <c r="Q252" s="291" t="s">
        <v>1183</v>
      </c>
      <c r="R252" s="293">
        <v>1</v>
      </c>
      <c r="S252" s="293" t="s">
        <v>1518</v>
      </c>
      <c r="T252" s="293">
        <v>1</v>
      </c>
      <c r="U252" s="296">
        <v>197.5</v>
      </c>
      <c r="V252" s="298" t="s">
        <v>1519</v>
      </c>
      <c r="W252" s="291" t="s">
        <v>1071</v>
      </c>
      <c r="X252" s="291" t="s">
        <v>1154</v>
      </c>
      <c r="Y252" s="291"/>
      <c r="Z252" s="291"/>
    </row>
    <row r="253" spans="1:26" s="143" customFormat="1">
      <c r="A253" s="291" t="s">
        <v>601</v>
      </c>
      <c r="B253" s="291" t="s">
        <v>347</v>
      </c>
      <c r="C253" s="292">
        <v>42889</v>
      </c>
      <c r="D253" s="292">
        <v>42896</v>
      </c>
      <c r="E253" s="291" t="s">
        <v>348</v>
      </c>
      <c r="F253" s="291"/>
      <c r="G253" s="293" t="s">
        <v>349</v>
      </c>
      <c r="H253" s="291" t="s">
        <v>350</v>
      </c>
      <c r="I253" s="291" t="s">
        <v>54</v>
      </c>
      <c r="J253" s="291" t="s">
        <v>19</v>
      </c>
      <c r="K253" s="291"/>
      <c r="L253" s="291" t="s">
        <v>351</v>
      </c>
      <c r="M253" s="291"/>
      <c r="N253" s="324" t="s">
        <v>352</v>
      </c>
      <c r="O253" s="339">
        <v>1090</v>
      </c>
      <c r="P253" s="291"/>
      <c r="Q253" s="340" t="s">
        <v>1679</v>
      </c>
      <c r="R253" s="293">
        <v>1</v>
      </c>
      <c r="S253" s="293">
        <v>6</v>
      </c>
      <c r="T253" s="293">
        <v>1</v>
      </c>
      <c r="U253" s="341">
        <v>275</v>
      </c>
      <c r="V253" s="291"/>
      <c r="W253" s="291" t="s">
        <v>1519</v>
      </c>
      <c r="X253" s="291"/>
      <c r="Y253" s="291"/>
      <c r="Z253" s="291"/>
    </row>
    <row r="254" spans="1:26" s="143" customFormat="1">
      <c r="A254" s="355" t="s">
        <v>1902</v>
      </c>
      <c r="B254" s="355" t="s">
        <v>1903</v>
      </c>
      <c r="C254" s="357">
        <v>43161</v>
      </c>
      <c r="D254" s="357">
        <v>43175</v>
      </c>
      <c r="E254" s="355" t="s">
        <v>1904</v>
      </c>
      <c r="F254" s="355"/>
      <c r="G254" s="358"/>
      <c r="H254" s="355"/>
      <c r="I254" s="355" t="s">
        <v>54</v>
      </c>
      <c r="J254" s="355" t="s">
        <v>19</v>
      </c>
      <c r="K254" s="355"/>
      <c r="L254" s="355" t="s">
        <v>1905</v>
      </c>
      <c r="M254" s="355"/>
      <c r="N254" s="365" t="s">
        <v>1906</v>
      </c>
      <c r="O254" s="359">
        <v>1618</v>
      </c>
      <c r="P254" s="355"/>
      <c r="Q254" s="355" t="s">
        <v>1907</v>
      </c>
      <c r="R254" s="358">
        <v>2</v>
      </c>
      <c r="S254" s="358">
        <v>2</v>
      </c>
      <c r="T254" s="358">
        <v>4</v>
      </c>
      <c r="U254" s="356">
        <v>0</v>
      </c>
      <c r="V254" s="360">
        <v>43145</v>
      </c>
      <c r="W254" s="355"/>
      <c r="X254" s="355" t="s">
        <v>1154</v>
      </c>
      <c r="Y254" s="355"/>
      <c r="Z254" s="355"/>
    </row>
    <row r="255" spans="1:26" s="143" customFormat="1">
      <c r="A255" s="355" t="s">
        <v>1062</v>
      </c>
      <c r="B255" s="355" t="s">
        <v>1063</v>
      </c>
      <c r="C255" s="357">
        <v>43239</v>
      </c>
      <c r="D255" s="357">
        <v>43246</v>
      </c>
      <c r="E255" s="355" t="s">
        <v>1064</v>
      </c>
      <c r="F255" s="355"/>
      <c r="G255" s="358" t="s">
        <v>1065</v>
      </c>
      <c r="H255" s="355" t="s">
        <v>54</v>
      </c>
      <c r="I255" s="355" t="s">
        <v>54</v>
      </c>
      <c r="J255" s="355" t="s">
        <v>19</v>
      </c>
      <c r="K255" s="355" t="s">
        <v>1067</v>
      </c>
      <c r="L255" s="355" t="s">
        <v>1066</v>
      </c>
      <c r="M255" s="355"/>
      <c r="N255" s="362" t="s">
        <v>1068</v>
      </c>
      <c r="O255" s="359">
        <v>990</v>
      </c>
      <c r="P255" s="355"/>
      <c r="Q255" s="355" t="s">
        <v>1808</v>
      </c>
      <c r="R255" s="358">
        <v>1</v>
      </c>
      <c r="S255" s="358" t="s">
        <v>1518</v>
      </c>
      <c r="T255" s="358">
        <v>1</v>
      </c>
      <c r="U255" s="356" t="s">
        <v>1832</v>
      </c>
      <c r="V255" s="360">
        <v>43041</v>
      </c>
      <c r="W255" s="355" t="s">
        <v>1519</v>
      </c>
      <c r="X255" s="355" t="s">
        <v>1154</v>
      </c>
      <c r="Y255" s="355"/>
      <c r="Z255" s="355"/>
    </row>
    <row r="256" spans="1:26" s="143" customFormat="1">
      <c r="A256" s="355" t="s">
        <v>1062</v>
      </c>
      <c r="B256" s="355" t="s">
        <v>1063</v>
      </c>
      <c r="C256" s="357">
        <v>43610</v>
      </c>
      <c r="D256" s="357">
        <v>43617</v>
      </c>
      <c r="E256" s="355" t="s">
        <v>1064</v>
      </c>
      <c r="F256" s="355"/>
      <c r="G256" s="358" t="s">
        <v>1065</v>
      </c>
      <c r="H256" s="355" t="s">
        <v>54</v>
      </c>
      <c r="I256" s="355" t="s">
        <v>54</v>
      </c>
      <c r="J256" s="355" t="s">
        <v>19</v>
      </c>
      <c r="K256" s="355" t="s">
        <v>1067</v>
      </c>
      <c r="L256" s="355" t="s">
        <v>1066</v>
      </c>
      <c r="M256" s="355"/>
      <c r="N256" s="362" t="s">
        <v>1068</v>
      </c>
      <c r="O256" s="359">
        <v>1090</v>
      </c>
      <c r="P256" s="355"/>
      <c r="Q256" s="355" t="s">
        <v>1808</v>
      </c>
      <c r="R256" s="358">
        <v>1</v>
      </c>
      <c r="S256" s="358" t="s">
        <v>1518</v>
      </c>
      <c r="T256" s="358">
        <v>1</v>
      </c>
      <c r="U256" s="356" t="s">
        <v>1832</v>
      </c>
      <c r="V256" s="360">
        <v>43041</v>
      </c>
      <c r="W256" s="355" t="s">
        <v>1519</v>
      </c>
      <c r="X256" s="355" t="s">
        <v>1154</v>
      </c>
      <c r="Y256" s="355"/>
      <c r="Z256" s="355"/>
    </row>
    <row r="257" spans="1:26" s="143" customFormat="1" ht="13.2">
      <c r="A257" s="115" t="s">
        <v>2265</v>
      </c>
      <c r="B257" s="115" t="s">
        <v>2264</v>
      </c>
      <c r="C257" s="116">
        <v>43694</v>
      </c>
      <c r="D257" s="116">
        <v>43708</v>
      </c>
      <c r="E257" s="115" t="s">
        <v>2266</v>
      </c>
      <c r="F257" s="115"/>
      <c r="G257" s="361" t="s">
        <v>2267</v>
      </c>
      <c r="H257" s="115" t="s">
        <v>2268</v>
      </c>
      <c r="I257" s="115" t="s">
        <v>54</v>
      </c>
      <c r="J257" s="115" t="s">
        <v>19</v>
      </c>
      <c r="K257" s="115"/>
      <c r="L257" s="115" t="s">
        <v>2269</v>
      </c>
      <c r="M257" s="115"/>
      <c r="N257" s="121" t="s">
        <v>2270</v>
      </c>
      <c r="O257" s="118">
        <v>3680</v>
      </c>
      <c r="P257" s="115"/>
      <c r="Q257" s="115" t="s">
        <v>599</v>
      </c>
      <c r="R257" s="361">
        <v>2</v>
      </c>
      <c r="S257" s="361">
        <v>3</v>
      </c>
      <c r="T257" s="361">
        <v>2</v>
      </c>
      <c r="U257" s="119">
        <v>920</v>
      </c>
      <c r="V257" s="120">
        <v>43559</v>
      </c>
      <c r="W257" s="115" t="s">
        <v>1477</v>
      </c>
      <c r="X257" s="115"/>
      <c r="Y257" s="115"/>
      <c r="Z257" s="115"/>
    </row>
    <row r="258" spans="1:26" s="143" customFormat="1">
      <c r="A258" s="139" t="s">
        <v>346</v>
      </c>
      <c r="B258" s="139" t="s">
        <v>347</v>
      </c>
      <c r="C258" s="352">
        <v>38486</v>
      </c>
      <c r="D258" s="352">
        <v>38493</v>
      </c>
      <c r="E258" s="139" t="s">
        <v>348</v>
      </c>
      <c r="F258" s="139"/>
      <c r="G258" s="140" t="s">
        <v>349</v>
      </c>
      <c r="H258" s="139" t="s">
        <v>350</v>
      </c>
      <c r="I258" s="139" t="s">
        <v>54</v>
      </c>
      <c r="J258" s="139" t="s">
        <v>19</v>
      </c>
      <c r="K258" s="139"/>
      <c r="L258" s="139" t="s">
        <v>351</v>
      </c>
      <c r="M258" s="139"/>
      <c r="N258" s="156" t="s">
        <v>352</v>
      </c>
      <c r="O258" s="353">
        <v>460</v>
      </c>
      <c r="P258" s="139"/>
      <c r="Q258" s="139" t="s">
        <v>353</v>
      </c>
      <c r="R258" s="140">
        <v>1</v>
      </c>
      <c r="S258" s="140">
        <v>6</v>
      </c>
      <c r="T258" s="140">
        <v>1</v>
      </c>
      <c r="U258" s="185"/>
      <c r="V258" s="139"/>
      <c r="W258" s="139"/>
      <c r="X258" s="139"/>
      <c r="Y258" s="139"/>
      <c r="Z258" s="139"/>
    </row>
    <row r="259" spans="1:26" s="143" customFormat="1">
      <c r="A259" s="139" t="s">
        <v>102</v>
      </c>
      <c r="B259" s="139" t="s">
        <v>345</v>
      </c>
      <c r="C259" s="352">
        <v>38556</v>
      </c>
      <c r="D259" s="352">
        <v>38570</v>
      </c>
      <c r="E259" s="139" t="s">
        <v>139</v>
      </c>
      <c r="F259" s="139"/>
      <c r="G259" s="140" t="s">
        <v>140</v>
      </c>
      <c r="H259" s="139" t="s">
        <v>141</v>
      </c>
      <c r="I259" s="139" t="s">
        <v>54</v>
      </c>
      <c r="J259" s="139" t="s">
        <v>19</v>
      </c>
      <c r="K259" s="139" t="s">
        <v>138</v>
      </c>
      <c r="L259" s="139"/>
      <c r="M259" s="139"/>
      <c r="N259" s="156" t="s">
        <v>142</v>
      </c>
      <c r="O259" s="157">
        <v>2200</v>
      </c>
      <c r="P259" s="139"/>
      <c r="Q259" s="139"/>
      <c r="R259" s="140">
        <v>2</v>
      </c>
      <c r="S259" s="140">
        <v>7</v>
      </c>
      <c r="T259" s="140"/>
      <c r="U259" s="185" t="s">
        <v>232</v>
      </c>
      <c r="V259" s="139"/>
      <c r="W259" s="139"/>
      <c r="X259" s="139"/>
      <c r="Y259" s="139"/>
      <c r="Z259" s="139"/>
    </row>
    <row r="260" spans="1:26" s="143" customFormat="1" ht="21">
      <c r="A260" s="143" t="s">
        <v>362</v>
      </c>
      <c r="B260" s="143" t="s">
        <v>363</v>
      </c>
      <c r="C260" s="144">
        <v>39523</v>
      </c>
      <c r="D260" s="144">
        <v>39540</v>
      </c>
      <c r="E260" s="143" t="s">
        <v>369</v>
      </c>
      <c r="G260" s="145">
        <v>4085</v>
      </c>
      <c r="H260" s="143" t="s">
        <v>367</v>
      </c>
      <c r="I260" s="143" t="s">
        <v>365</v>
      </c>
      <c r="J260" s="143" t="s">
        <v>180</v>
      </c>
      <c r="K260" s="143" t="s">
        <v>368</v>
      </c>
      <c r="L260" s="143" t="s">
        <v>364</v>
      </c>
      <c r="M260" s="146"/>
      <c r="N260" s="147" t="s">
        <v>366</v>
      </c>
      <c r="O260" s="148">
        <v>1400</v>
      </c>
      <c r="R260" s="145">
        <v>2</v>
      </c>
      <c r="S260" s="145">
        <v>5</v>
      </c>
      <c r="T260" s="145"/>
      <c r="U260" s="149">
        <v>350</v>
      </c>
    </row>
    <row r="261" spans="1:26" s="143" customFormat="1">
      <c r="A261" s="219" t="s">
        <v>769</v>
      </c>
      <c r="B261" s="219" t="s">
        <v>768</v>
      </c>
      <c r="C261" s="220">
        <v>40719</v>
      </c>
      <c r="D261" s="220">
        <v>40727</v>
      </c>
      <c r="E261" s="219"/>
      <c r="F261" s="219"/>
      <c r="G261" s="221"/>
      <c r="H261" s="219"/>
      <c r="I261" s="219" t="s">
        <v>103</v>
      </c>
      <c r="J261" s="219" t="s">
        <v>19</v>
      </c>
      <c r="K261" s="219"/>
      <c r="L261" s="219"/>
      <c r="M261" s="219"/>
      <c r="N261" s="222" t="s">
        <v>767</v>
      </c>
      <c r="O261" s="223">
        <v>500</v>
      </c>
      <c r="P261" s="219"/>
      <c r="Q261" s="219" t="s">
        <v>770</v>
      </c>
      <c r="R261" s="221">
        <v>1</v>
      </c>
      <c r="S261" s="221">
        <v>4</v>
      </c>
      <c r="T261" s="221">
        <v>0</v>
      </c>
      <c r="U261" s="231">
        <v>0</v>
      </c>
      <c r="V261" s="219"/>
      <c r="W261" s="219"/>
      <c r="X261" s="219"/>
      <c r="Y261" s="219"/>
      <c r="Z261" s="219"/>
    </row>
    <row r="262" spans="1:26" s="143" customFormat="1">
      <c r="A262" s="143" t="s">
        <v>882</v>
      </c>
      <c r="B262" s="143" t="s">
        <v>528</v>
      </c>
      <c r="C262" s="144">
        <v>41034</v>
      </c>
      <c r="D262" s="144">
        <v>41044</v>
      </c>
      <c r="G262" s="145"/>
      <c r="I262" s="143" t="s">
        <v>884</v>
      </c>
      <c r="J262" s="143" t="s">
        <v>51</v>
      </c>
      <c r="K262" s="143" t="s">
        <v>885</v>
      </c>
      <c r="L262" s="143" t="s">
        <v>886</v>
      </c>
      <c r="N262" s="147" t="s">
        <v>887</v>
      </c>
      <c r="O262" s="148">
        <f>1250+2*10*3+70</f>
        <v>1380</v>
      </c>
      <c r="R262" s="145">
        <v>2</v>
      </c>
      <c r="S262" s="145">
        <v>2</v>
      </c>
      <c r="T262" s="145">
        <v>2</v>
      </c>
      <c r="U262" s="236">
        <f>O262/4</f>
        <v>345</v>
      </c>
      <c r="V262" s="238">
        <v>40970</v>
      </c>
      <c r="W262" s="143" t="s">
        <v>791</v>
      </c>
    </row>
    <row r="263" spans="1:26" s="143" customFormat="1">
      <c r="A263" s="225" t="s">
        <v>1027</v>
      </c>
      <c r="B263" s="225" t="s">
        <v>1028</v>
      </c>
      <c r="C263" s="226">
        <v>41391</v>
      </c>
      <c r="D263" s="226">
        <v>41398</v>
      </c>
      <c r="E263" s="225" t="s">
        <v>1029</v>
      </c>
      <c r="F263" s="225"/>
      <c r="G263" s="227" t="s">
        <v>1030</v>
      </c>
      <c r="H263" s="225" t="s">
        <v>1031</v>
      </c>
      <c r="I263" s="225" t="s">
        <v>884</v>
      </c>
      <c r="J263" s="225" t="s">
        <v>19</v>
      </c>
      <c r="K263" s="225" t="s">
        <v>1032</v>
      </c>
      <c r="L263" s="225" t="s">
        <v>1033</v>
      </c>
      <c r="M263" s="225"/>
      <c r="N263" s="228" t="s">
        <v>1034</v>
      </c>
      <c r="O263" s="229">
        <v>0</v>
      </c>
      <c r="P263" s="225"/>
      <c r="Q263" s="225" t="s">
        <v>1035</v>
      </c>
      <c r="R263" s="227">
        <v>0</v>
      </c>
      <c r="S263" s="227" t="s">
        <v>1036</v>
      </c>
      <c r="T263" s="227">
        <v>0</v>
      </c>
      <c r="U263" s="252">
        <v>197.5</v>
      </c>
      <c r="V263" s="248">
        <v>41240</v>
      </c>
      <c r="W263" s="225"/>
      <c r="X263" s="225"/>
      <c r="Y263" s="225"/>
      <c r="Z263" s="225"/>
    </row>
    <row r="264" spans="1:26" s="225" customFormat="1" ht="13.2">
      <c r="A264" s="143" t="s">
        <v>1385</v>
      </c>
      <c r="B264" s="143" t="s">
        <v>1384</v>
      </c>
      <c r="C264" s="144">
        <v>42133</v>
      </c>
      <c r="D264" s="144">
        <v>42147</v>
      </c>
      <c r="E264" s="143" t="s">
        <v>1386</v>
      </c>
      <c r="F264" s="143"/>
      <c r="G264" s="145"/>
      <c r="H264" s="143" t="s">
        <v>1387</v>
      </c>
      <c r="I264" s="143" t="s">
        <v>884</v>
      </c>
      <c r="J264" s="143" t="s">
        <v>180</v>
      </c>
      <c r="K264" s="143"/>
      <c r="L264" s="143" t="s">
        <v>1388</v>
      </c>
      <c r="M264" s="143"/>
      <c r="N264" s="253" t="s">
        <v>1389</v>
      </c>
      <c r="O264" s="148">
        <f>790+790+3*4*14</f>
        <v>1748</v>
      </c>
      <c r="P264" s="143"/>
      <c r="Q264" s="143" t="s">
        <v>1390</v>
      </c>
      <c r="R264" s="145">
        <v>2</v>
      </c>
      <c r="S264" s="145" t="s">
        <v>1300</v>
      </c>
      <c r="T264" s="145">
        <v>3</v>
      </c>
      <c r="U264" s="236">
        <v>395</v>
      </c>
      <c r="V264" s="238">
        <v>42011</v>
      </c>
      <c r="W264" s="143" t="s">
        <v>1329</v>
      </c>
      <c r="X264" s="143"/>
      <c r="Y264" s="143"/>
      <c r="Z264" s="143"/>
    </row>
    <row r="265" spans="1:26" s="143" customFormat="1" ht="13.2">
      <c r="A265" s="143" t="s">
        <v>1427</v>
      </c>
      <c r="B265" s="143" t="s">
        <v>1428</v>
      </c>
      <c r="C265" s="144">
        <v>42210</v>
      </c>
      <c r="D265" s="144">
        <v>42217</v>
      </c>
      <c r="E265" s="143" t="s">
        <v>1429</v>
      </c>
      <c r="G265" s="145"/>
      <c r="I265" s="143" t="s">
        <v>884</v>
      </c>
      <c r="J265" s="143" t="s">
        <v>180</v>
      </c>
      <c r="L265" s="143" t="s">
        <v>1430</v>
      </c>
      <c r="N265" s="253" t="s">
        <v>1431</v>
      </c>
      <c r="O265" s="148">
        <v>1990</v>
      </c>
      <c r="Q265" s="143" t="s">
        <v>1432</v>
      </c>
      <c r="R265" s="145">
        <v>1</v>
      </c>
      <c r="S265" s="145">
        <v>4</v>
      </c>
      <c r="T265" s="145">
        <v>1</v>
      </c>
      <c r="U265" s="236">
        <v>500</v>
      </c>
      <c r="V265" s="238">
        <v>42085</v>
      </c>
      <c r="X265" s="143" t="s">
        <v>1154</v>
      </c>
    </row>
    <row r="266" spans="1:26" s="143" customFormat="1" ht="13.2">
      <c r="A266" s="291" t="s">
        <v>1753</v>
      </c>
      <c r="B266" s="291" t="s">
        <v>297</v>
      </c>
      <c r="C266" s="292">
        <v>42973</v>
      </c>
      <c r="D266" s="292">
        <v>42980</v>
      </c>
      <c r="E266" s="291" t="s">
        <v>1754</v>
      </c>
      <c r="F266" s="291"/>
      <c r="G266" s="293" t="s">
        <v>1755</v>
      </c>
      <c r="H266" s="291" t="s">
        <v>1756</v>
      </c>
      <c r="I266" s="291" t="s">
        <v>884</v>
      </c>
      <c r="J266" s="291" t="s">
        <v>51</v>
      </c>
      <c r="K266" s="291"/>
      <c r="L266" s="291" t="s">
        <v>1757</v>
      </c>
      <c r="M266" s="291"/>
      <c r="N266" s="294" t="s">
        <v>1758</v>
      </c>
      <c r="O266" s="295">
        <f>1590 +70</f>
        <v>1660</v>
      </c>
      <c r="P266" s="291"/>
      <c r="Q266" s="291" t="s">
        <v>1759</v>
      </c>
      <c r="R266" s="293">
        <v>1</v>
      </c>
      <c r="S266" s="293">
        <v>4</v>
      </c>
      <c r="T266" s="293">
        <v>0</v>
      </c>
      <c r="U266" s="296">
        <v>397.5</v>
      </c>
      <c r="V266" s="298">
        <v>42862</v>
      </c>
      <c r="W266" s="291" t="s">
        <v>1760</v>
      </c>
      <c r="X266" s="291" t="s">
        <v>1154</v>
      </c>
      <c r="Y266" s="291"/>
      <c r="Z266" s="291"/>
    </row>
    <row r="267" spans="1:26" s="143" customFormat="1">
      <c r="A267" s="143" t="s">
        <v>640</v>
      </c>
      <c r="B267" s="143" t="s">
        <v>641</v>
      </c>
      <c r="C267" s="144">
        <v>40299</v>
      </c>
      <c r="D267" s="144">
        <v>40303</v>
      </c>
      <c r="G267" s="145"/>
      <c r="I267" s="143" t="s">
        <v>642</v>
      </c>
      <c r="J267" s="143" t="s">
        <v>19</v>
      </c>
      <c r="L267" s="173"/>
      <c r="N267" s="151"/>
      <c r="O267" s="148">
        <v>600</v>
      </c>
      <c r="R267" s="145">
        <v>1</v>
      </c>
      <c r="S267" s="145">
        <v>8</v>
      </c>
      <c r="T267" s="145">
        <v>0</v>
      </c>
      <c r="U267" s="203"/>
    </row>
    <row r="268" spans="1:26" s="143" customFormat="1">
      <c r="A268" s="143" t="s">
        <v>438</v>
      </c>
      <c r="B268" s="143" t="s">
        <v>439</v>
      </c>
      <c r="C268" s="144">
        <v>39599</v>
      </c>
      <c r="D268" s="144">
        <v>39606</v>
      </c>
      <c r="E268" s="143" t="s">
        <v>441</v>
      </c>
      <c r="G268" s="145">
        <v>5034</v>
      </c>
      <c r="H268" s="143" t="s">
        <v>442</v>
      </c>
      <c r="I268" s="143" t="s">
        <v>168</v>
      </c>
      <c r="J268" s="143" t="s">
        <v>51</v>
      </c>
      <c r="L268" s="143" t="s">
        <v>443</v>
      </c>
      <c r="N268" s="147" t="s">
        <v>437</v>
      </c>
      <c r="O268" s="148">
        <v>970</v>
      </c>
      <c r="R268" s="145">
        <v>1</v>
      </c>
      <c r="S268" s="145">
        <v>2</v>
      </c>
      <c r="T268" s="145"/>
      <c r="U268" s="149">
        <v>225</v>
      </c>
    </row>
    <row r="269" spans="1:26" s="143" customFormat="1">
      <c r="A269" s="143" t="s">
        <v>377</v>
      </c>
      <c r="B269" s="143" t="s">
        <v>378</v>
      </c>
      <c r="C269" s="144">
        <v>39634</v>
      </c>
      <c r="D269" s="144">
        <v>39648</v>
      </c>
      <c r="E269" s="143" t="s">
        <v>379</v>
      </c>
      <c r="F269" s="143">
        <v>1273</v>
      </c>
      <c r="G269" s="145">
        <v>1273</v>
      </c>
      <c r="H269" s="143" t="s">
        <v>380</v>
      </c>
      <c r="I269" s="143" t="s">
        <v>168</v>
      </c>
      <c r="J269" s="143" t="s">
        <v>19</v>
      </c>
      <c r="L269" s="143" t="s">
        <v>381</v>
      </c>
      <c r="N269" s="147" t="s">
        <v>382</v>
      </c>
      <c r="O269" s="148">
        <v>2800</v>
      </c>
      <c r="R269" s="145">
        <v>2</v>
      </c>
      <c r="S269" s="145">
        <v>4</v>
      </c>
      <c r="T269" s="145"/>
      <c r="U269" s="149">
        <v>700</v>
      </c>
    </row>
    <row r="270" spans="1:26" s="143" customFormat="1">
      <c r="A270" s="143" t="s">
        <v>453</v>
      </c>
      <c r="B270" s="143" t="s">
        <v>454</v>
      </c>
      <c r="C270" s="144">
        <v>39809</v>
      </c>
      <c r="D270" s="144">
        <v>39816</v>
      </c>
      <c r="E270" s="143" t="s">
        <v>455</v>
      </c>
      <c r="G270" s="145" t="s">
        <v>457</v>
      </c>
      <c r="H270" s="143" t="s">
        <v>456</v>
      </c>
      <c r="I270" s="143" t="s">
        <v>168</v>
      </c>
      <c r="J270" s="143" t="s">
        <v>19</v>
      </c>
      <c r="K270" s="143" t="s">
        <v>458</v>
      </c>
      <c r="L270" s="143" t="s">
        <v>460</v>
      </c>
      <c r="M270" s="143" t="s">
        <v>459</v>
      </c>
      <c r="N270" s="147" t="s">
        <v>461</v>
      </c>
      <c r="O270" s="148">
        <v>1150</v>
      </c>
      <c r="R270" s="145">
        <v>1</v>
      </c>
      <c r="S270" s="145">
        <v>2</v>
      </c>
      <c r="T270" s="145"/>
      <c r="U270" s="149">
        <v>285</v>
      </c>
    </row>
    <row r="271" spans="1:26" s="143" customFormat="1">
      <c r="A271" s="143" t="s">
        <v>537</v>
      </c>
      <c r="B271" s="143" t="s">
        <v>538</v>
      </c>
      <c r="C271" s="144">
        <v>40083</v>
      </c>
      <c r="D271" s="144">
        <v>40090</v>
      </c>
      <c r="E271" s="143" t="s">
        <v>535</v>
      </c>
      <c r="G271" s="145">
        <v>8427</v>
      </c>
      <c r="H271" s="143" t="s">
        <v>594</v>
      </c>
      <c r="I271" s="143" t="s">
        <v>168</v>
      </c>
      <c r="J271" s="143" t="s">
        <v>19</v>
      </c>
      <c r="K271" s="143" t="s">
        <v>540</v>
      </c>
      <c r="L271" s="173" t="s">
        <v>539</v>
      </c>
      <c r="N271" s="147" t="s">
        <v>536</v>
      </c>
      <c r="O271" s="148">
        <v>970</v>
      </c>
      <c r="R271" s="145">
        <v>1</v>
      </c>
      <c r="S271" s="145">
        <v>4</v>
      </c>
      <c r="T271" s="145">
        <v>1</v>
      </c>
      <c r="U271" s="174">
        <v>225</v>
      </c>
    </row>
    <row r="272" spans="1:26" s="143" customFormat="1">
      <c r="A272" s="143" t="s">
        <v>566</v>
      </c>
      <c r="B272" s="143" t="s">
        <v>567</v>
      </c>
      <c r="C272" s="144">
        <v>40130</v>
      </c>
      <c r="D272" s="144">
        <v>40137</v>
      </c>
      <c r="E272" s="143" t="s">
        <v>568</v>
      </c>
      <c r="G272" s="145">
        <v>4148</v>
      </c>
      <c r="H272" s="143" t="s">
        <v>569</v>
      </c>
      <c r="I272" s="143" t="s">
        <v>168</v>
      </c>
      <c r="J272" s="143" t="s">
        <v>19</v>
      </c>
      <c r="K272" s="143" t="s">
        <v>570</v>
      </c>
      <c r="L272" s="143" t="s">
        <v>571</v>
      </c>
      <c r="N272" s="147" t="s">
        <v>572</v>
      </c>
      <c r="O272" s="148">
        <v>760</v>
      </c>
      <c r="Q272" s="143" t="s">
        <v>573</v>
      </c>
      <c r="R272" s="145">
        <v>1</v>
      </c>
      <c r="S272" s="145">
        <v>4</v>
      </c>
      <c r="T272" s="145"/>
      <c r="U272" s="174">
        <v>297.60000000000002</v>
      </c>
    </row>
    <row r="273" spans="1:26" s="282" customFormat="1">
      <c r="A273" s="143" t="s">
        <v>621</v>
      </c>
      <c r="B273" s="143" t="s">
        <v>622</v>
      </c>
      <c r="C273" s="144">
        <v>40376</v>
      </c>
      <c r="D273" s="144">
        <v>40390</v>
      </c>
      <c r="E273" s="143" t="s">
        <v>630</v>
      </c>
      <c r="F273" s="143"/>
      <c r="G273" s="145">
        <v>6005</v>
      </c>
      <c r="H273" s="143" t="s">
        <v>631</v>
      </c>
      <c r="I273" s="143" t="s">
        <v>168</v>
      </c>
      <c r="J273" s="143" t="s">
        <v>19</v>
      </c>
      <c r="K273" s="143" t="s">
        <v>624</v>
      </c>
      <c r="L273" s="143"/>
      <c r="M273" s="143"/>
      <c r="N273" s="151" t="s">
        <v>623</v>
      </c>
      <c r="O273" s="204">
        <f>3000+70</f>
        <v>3070</v>
      </c>
      <c r="P273" s="143"/>
      <c r="Q273" s="173" t="s">
        <v>629</v>
      </c>
      <c r="R273" s="145">
        <v>2</v>
      </c>
      <c r="S273" s="145">
        <v>4</v>
      </c>
      <c r="T273" s="145">
        <v>0</v>
      </c>
      <c r="U273" s="205">
        <v>750</v>
      </c>
      <c r="V273" s="143"/>
      <c r="W273" s="143"/>
      <c r="X273" s="143"/>
      <c r="Y273" s="143"/>
      <c r="Z273" s="143"/>
    </row>
    <row r="274" spans="1:26" s="143" customFormat="1">
      <c r="A274" s="143" t="s">
        <v>632</v>
      </c>
      <c r="B274" s="143" t="s">
        <v>627</v>
      </c>
      <c r="C274" s="144">
        <v>40453</v>
      </c>
      <c r="D274" s="144">
        <v>40467</v>
      </c>
      <c r="E274" s="143" t="s">
        <v>633</v>
      </c>
      <c r="G274" s="145" t="s">
        <v>634</v>
      </c>
      <c r="H274" s="143" t="s">
        <v>635</v>
      </c>
      <c r="I274" s="143" t="s">
        <v>168</v>
      </c>
      <c r="J274" s="143" t="s">
        <v>19</v>
      </c>
      <c r="K274" s="143" t="s">
        <v>636</v>
      </c>
      <c r="L274" s="143" t="s">
        <v>637</v>
      </c>
      <c r="N274" s="147" t="s">
        <v>638</v>
      </c>
      <c r="O274" s="148">
        <v>1800</v>
      </c>
      <c r="Q274" s="143" t="s">
        <v>639</v>
      </c>
      <c r="R274" s="145">
        <v>2</v>
      </c>
      <c r="S274" s="145">
        <v>2</v>
      </c>
      <c r="T274" s="145">
        <v>1</v>
      </c>
      <c r="U274" s="149">
        <v>450</v>
      </c>
    </row>
    <row r="275" spans="1:26" s="143" customFormat="1">
      <c r="A275" s="219" t="s">
        <v>745</v>
      </c>
      <c r="B275" s="219" t="s">
        <v>746</v>
      </c>
      <c r="C275" s="220">
        <v>40727</v>
      </c>
      <c r="D275" s="220">
        <v>40740</v>
      </c>
      <c r="E275" s="219" t="s">
        <v>747</v>
      </c>
      <c r="F275" s="219"/>
      <c r="G275" s="221" t="s">
        <v>748</v>
      </c>
      <c r="H275" s="219" t="s">
        <v>456</v>
      </c>
      <c r="I275" s="219" t="s">
        <v>168</v>
      </c>
      <c r="J275" s="219" t="s">
        <v>19</v>
      </c>
      <c r="K275" s="219" t="s">
        <v>750</v>
      </c>
      <c r="L275" s="219" t="s">
        <v>749</v>
      </c>
      <c r="M275" s="219"/>
      <c r="N275" s="232"/>
      <c r="O275" s="223">
        <v>2480</v>
      </c>
      <c r="P275" s="219"/>
      <c r="Q275" s="219" t="s">
        <v>779</v>
      </c>
      <c r="R275" s="221">
        <v>2</v>
      </c>
      <c r="S275" s="221">
        <v>3</v>
      </c>
      <c r="T275" s="221">
        <v>1</v>
      </c>
      <c r="U275" s="224">
        <f>O275/4</f>
        <v>620</v>
      </c>
      <c r="V275" s="219"/>
      <c r="W275" s="219"/>
      <c r="X275" s="219"/>
      <c r="Y275" s="219"/>
      <c r="Z275" s="219"/>
    </row>
    <row r="276" spans="1:26" s="143" customFormat="1">
      <c r="A276" s="219" t="s">
        <v>692</v>
      </c>
      <c r="B276" s="219" t="s">
        <v>693</v>
      </c>
      <c r="C276" s="220">
        <v>40740</v>
      </c>
      <c r="D276" s="220">
        <v>40754</v>
      </c>
      <c r="E276" s="219" t="s">
        <v>694</v>
      </c>
      <c r="F276" s="219"/>
      <c r="G276" s="221">
        <v>4054</v>
      </c>
      <c r="H276" s="219" t="s">
        <v>695</v>
      </c>
      <c r="I276" s="219" t="s">
        <v>168</v>
      </c>
      <c r="J276" s="219" t="s">
        <v>19</v>
      </c>
      <c r="K276" s="219" t="s">
        <v>696</v>
      </c>
      <c r="L276" s="219" t="s">
        <v>697</v>
      </c>
      <c r="M276" s="219"/>
      <c r="N276" s="222"/>
      <c r="O276" s="223">
        <f>1790+2000+70</f>
        <v>3860</v>
      </c>
      <c r="P276" s="219"/>
      <c r="Q276" s="219" t="s">
        <v>699</v>
      </c>
      <c r="R276" s="221">
        <v>2</v>
      </c>
      <c r="S276" s="221">
        <v>5</v>
      </c>
      <c r="T276" s="221">
        <v>0</v>
      </c>
      <c r="U276" s="224">
        <f>3790/4</f>
        <v>947.5</v>
      </c>
      <c r="V276" s="219"/>
      <c r="W276" s="219"/>
      <c r="X276" s="219"/>
      <c r="Y276" s="219"/>
      <c r="Z276" s="219"/>
    </row>
    <row r="277" spans="1:26" s="143" customFormat="1">
      <c r="A277" s="143" t="s">
        <v>722</v>
      </c>
      <c r="B277" s="143" t="s">
        <v>723</v>
      </c>
      <c r="C277" s="144">
        <v>40754</v>
      </c>
      <c r="D277" s="144">
        <v>40761</v>
      </c>
      <c r="E277" s="143" t="s">
        <v>724</v>
      </c>
      <c r="G277" s="145">
        <v>8597</v>
      </c>
      <c r="H277" s="143" t="s">
        <v>725</v>
      </c>
      <c r="I277" s="143" t="s">
        <v>168</v>
      </c>
      <c r="J277" s="143" t="s">
        <v>19</v>
      </c>
      <c r="L277" s="143" t="s">
        <v>726</v>
      </c>
      <c r="N277" s="147" t="s">
        <v>727</v>
      </c>
      <c r="O277" s="148">
        <f>2000+70+20</f>
        <v>2090</v>
      </c>
      <c r="Q277" s="143" t="s">
        <v>728</v>
      </c>
      <c r="R277" s="145">
        <v>1</v>
      </c>
      <c r="S277" s="145">
        <v>4</v>
      </c>
      <c r="T277" s="145">
        <v>1</v>
      </c>
      <c r="U277" s="149">
        <v>500</v>
      </c>
    </row>
    <row r="278" spans="1:26" s="143" customFormat="1">
      <c r="A278" s="225" t="s">
        <v>793</v>
      </c>
      <c r="B278" s="225" t="s">
        <v>794</v>
      </c>
      <c r="C278" s="226">
        <v>40852</v>
      </c>
      <c r="D278" s="226">
        <v>40859</v>
      </c>
      <c r="E278" s="225" t="s">
        <v>795</v>
      </c>
      <c r="F278" s="225"/>
      <c r="G278" s="227" t="s">
        <v>796</v>
      </c>
      <c r="H278" s="225" t="s">
        <v>797</v>
      </c>
      <c r="I278" s="225" t="s">
        <v>168</v>
      </c>
      <c r="J278" s="225" t="s">
        <v>19</v>
      </c>
      <c r="K278" s="225" t="s">
        <v>798</v>
      </c>
      <c r="L278" s="225" t="s">
        <v>799</v>
      </c>
      <c r="M278" s="225"/>
      <c r="N278" s="228" t="s">
        <v>800</v>
      </c>
      <c r="O278" s="229">
        <f>690</f>
        <v>690</v>
      </c>
      <c r="P278" s="225"/>
      <c r="Q278" s="225" t="s">
        <v>199</v>
      </c>
      <c r="R278" s="227">
        <v>1</v>
      </c>
      <c r="S278" s="227">
        <v>2</v>
      </c>
      <c r="T278" s="227"/>
      <c r="U278" s="230">
        <v>180</v>
      </c>
      <c r="V278" s="225"/>
      <c r="W278" s="225"/>
      <c r="X278" s="225"/>
      <c r="Y278" s="225"/>
      <c r="Z278" s="225"/>
    </row>
    <row r="279" spans="1:26" s="143" customFormat="1">
      <c r="A279" s="143" t="s">
        <v>775</v>
      </c>
      <c r="B279" s="143" t="s">
        <v>829</v>
      </c>
      <c r="C279" s="144">
        <v>41097</v>
      </c>
      <c r="D279" s="144">
        <v>41118</v>
      </c>
      <c r="E279" s="143" t="s">
        <v>773</v>
      </c>
      <c r="G279" s="145" t="s">
        <v>774</v>
      </c>
      <c r="H279" s="143" t="s">
        <v>772</v>
      </c>
      <c r="I279" s="143" t="s">
        <v>168</v>
      </c>
      <c r="J279" s="143" t="s">
        <v>180</v>
      </c>
      <c r="L279" s="143" t="s">
        <v>777</v>
      </c>
      <c r="N279" s="147" t="s">
        <v>776</v>
      </c>
      <c r="O279" s="148">
        <f>1390+1790+2000</f>
        <v>5180</v>
      </c>
      <c r="Q279" s="143" t="s">
        <v>778</v>
      </c>
      <c r="R279" s="145">
        <v>3</v>
      </c>
      <c r="S279" s="145">
        <v>6</v>
      </c>
      <c r="T279" s="145"/>
      <c r="U279" s="236">
        <f>O279/4</f>
        <v>1295</v>
      </c>
    </row>
    <row r="280" spans="1:26" s="143" customFormat="1" ht="13.8">
      <c r="A280" s="143" t="s">
        <v>942</v>
      </c>
      <c r="B280" s="143" t="s">
        <v>943</v>
      </c>
      <c r="C280" s="144">
        <v>41153</v>
      </c>
      <c r="D280" s="144">
        <v>41160</v>
      </c>
      <c r="E280" s="241"/>
      <c r="G280" s="145"/>
      <c r="I280" s="143" t="s">
        <v>944</v>
      </c>
      <c r="J280" s="143" t="s">
        <v>19</v>
      </c>
      <c r="N280" s="147" t="s">
        <v>990</v>
      </c>
      <c r="O280" s="148">
        <f>1290+70+5*3*7</f>
        <v>1465</v>
      </c>
      <c r="Q280" s="143" t="s">
        <v>970</v>
      </c>
      <c r="R280" s="145">
        <v>1</v>
      </c>
      <c r="S280" s="145">
        <v>4</v>
      </c>
      <c r="T280" s="145">
        <v>5</v>
      </c>
      <c r="U280" s="236">
        <v>312.5</v>
      </c>
      <c r="V280" s="238"/>
    </row>
    <row r="281" spans="1:26" s="143" customFormat="1">
      <c r="A281" s="143" t="s">
        <v>1166</v>
      </c>
      <c r="B281" s="143" t="s">
        <v>1167</v>
      </c>
      <c r="C281" s="144">
        <v>41548</v>
      </c>
      <c r="D281" s="144">
        <v>41552</v>
      </c>
      <c r="G281" s="145"/>
      <c r="I281" s="143" t="s">
        <v>168</v>
      </c>
      <c r="J281" s="143" t="s">
        <v>19</v>
      </c>
      <c r="N281" s="147" t="s">
        <v>1168</v>
      </c>
      <c r="O281" s="148">
        <f>500+40</f>
        <v>540</v>
      </c>
      <c r="Q281" s="143" t="s">
        <v>1025</v>
      </c>
      <c r="R281" s="145">
        <v>1</v>
      </c>
      <c r="S281" s="145" t="s">
        <v>1025</v>
      </c>
      <c r="T281" s="145">
        <v>1</v>
      </c>
      <c r="U281" s="236">
        <v>0</v>
      </c>
      <c r="V281" s="240">
        <v>41546</v>
      </c>
      <c r="W281" s="143" t="s">
        <v>1169</v>
      </c>
    </row>
    <row r="282" spans="1:26" ht="12" customHeight="1" thickBot="1">
      <c r="A282" s="143" t="s">
        <v>1269</v>
      </c>
      <c r="B282" s="143" t="s">
        <v>264</v>
      </c>
      <c r="C282" s="144">
        <v>41916</v>
      </c>
      <c r="D282" s="144">
        <v>41923</v>
      </c>
      <c r="E282" s="143" t="s">
        <v>1270</v>
      </c>
      <c r="F282" s="143"/>
      <c r="G282" s="145">
        <v>5712</v>
      </c>
      <c r="H282" s="143" t="s">
        <v>1271</v>
      </c>
      <c r="I282" s="143" t="s">
        <v>168</v>
      </c>
      <c r="J282" s="143" t="s">
        <v>51</v>
      </c>
      <c r="K282" s="143" t="s">
        <v>1273</v>
      </c>
      <c r="L282" s="143" t="s">
        <v>1272</v>
      </c>
      <c r="M282" s="143"/>
      <c r="N282" s="147" t="s">
        <v>1274</v>
      </c>
      <c r="O282" s="148">
        <f>890+70</f>
        <v>960</v>
      </c>
      <c r="P282" s="143"/>
      <c r="Q282" s="143" t="s">
        <v>1275</v>
      </c>
      <c r="R282" s="145">
        <v>1</v>
      </c>
      <c r="S282" s="145">
        <v>5</v>
      </c>
      <c r="T282" s="145">
        <v>0</v>
      </c>
      <c r="U282" s="236">
        <v>960</v>
      </c>
      <c r="V282" s="238"/>
      <c r="W282" s="143"/>
      <c r="X282" s="143"/>
      <c r="Y282" s="143"/>
      <c r="Z282" s="143"/>
    </row>
    <row r="283" spans="1:26" ht="10.8" hidden="1" thickBot="1">
      <c r="N283" s="156"/>
      <c r="O283" s="157"/>
      <c r="U283" s="258"/>
      <c r="V283" s="261"/>
    </row>
    <row r="284" spans="1:26" ht="10.8" hidden="1" thickBot="1">
      <c r="N284" s="156"/>
      <c r="O284" s="157"/>
      <c r="U284" s="258"/>
      <c r="V284" s="261"/>
    </row>
    <row r="285" spans="1:26" ht="10.8" hidden="1" thickBot="1">
      <c r="N285" s="156"/>
      <c r="O285" s="157"/>
      <c r="U285" s="258"/>
      <c r="V285" s="261"/>
    </row>
    <row r="286" spans="1:26" ht="10.8" hidden="1" thickBot="1">
      <c r="N286" s="156"/>
      <c r="O286" s="157"/>
      <c r="U286" s="258"/>
      <c r="V286" s="263"/>
    </row>
    <row r="287" spans="1:26" ht="10.8" hidden="1" thickBot="1">
      <c r="N287" s="156"/>
      <c r="O287" s="157"/>
      <c r="U287" s="258"/>
      <c r="V287" s="261"/>
    </row>
    <row r="288" spans="1:26" ht="10.8" hidden="1" thickBot="1">
      <c r="A288" s="153"/>
      <c r="N288" s="156"/>
      <c r="O288" s="157"/>
      <c r="U288" s="158"/>
    </row>
    <row r="289" spans="1:22" ht="13.8" hidden="1" thickBot="1">
      <c r="H289" s="257"/>
      <c r="N289" s="156"/>
      <c r="O289" s="157"/>
      <c r="U289" s="258"/>
    </row>
    <row r="290" spans="1:22" ht="13.8" hidden="1" thickBot="1">
      <c r="A290" s="259"/>
      <c r="H290" s="194"/>
      <c r="N290" s="156"/>
      <c r="O290" s="157"/>
      <c r="U290" s="260"/>
      <c r="V290" s="261"/>
    </row>
    <row r="291" spans="1:22" ht="14.4" hidden="1" thickBot="1">
      <c r="A291" s="259"/>
      <c r="E291" s="262"/>
      <c r="N291" s="156"/>
      <c r="O291" s="157"/>
      <c r="U291" s="260"/>
      <c r="V291" s="263"/>
    </row>
    <row r="292" spans="1:22" ht="14.4" hidden="1" thickBot="1">
      <c r="A292" s="259"/>
      <c r="E292" s="262"/>
      <c r="N292" s="156"/>
      <c r="O292" s="157"/>
      <c r="U292" s="258"/>
      <c r="V292" s="263"/>
    </row>
    <row r="293" spans="1:22" ht="14.4" hidden="1" thickBot="1">
      <c r="A293" s="264"/>
      <c r="E293" s="262"/>
      <c r="N293" s="156"/>
      <c r="O293" s="157"/>
      <c r="U293" s="260"/>
      <c r="V293" s="263"/>
    </row>
    <row r="294" spans="1:22" ht="13.8" hidden="1" thickBot="1">
      <c r="A294" s="264"/>
      <c r="L294" s="265"/>
      <c r="N294" s="156"/>
      <c r="O294" s="157"/>
      <c r="U294" s="266"/>
      <c r="V294" s="263"/>
    </row>
    <row r="295" spans="1:22" ht="10.8" hidden="1" thickBot="1">
      <c r="A295" s="153"/>
      <c r="L295" s="265"/>
      <c r="N295" s="156"/>
      <c r="O295" s="157"/>
      <c r="U295" s="266"/>
      <c r="V295" s="263"/>
    </row>
    <row r="296" spans="1:22" ht="13.8" hidden="1" thickBot="1">
      <c r="E296" s="194"/>
      <c r="N296" s="267"/>
      <c r="O296" s="157"/>
      <c r="U296" s="268"/>
    </row>
    <row r="297" spans="1:22" ht="14.4" hidden="1" thickBot="1">
      <c r="E297" s="262"/>
      <c r="L297" s="269">
        <f>O285-U285</f>
        <v>0</v>
      </c>
      <c r="N297" s="267"/>
      <c r="O297" s="157"/>
      <c r="S297" s="140">
        <f>O287-U287</f>
        <v>0</v>
      </c>
      <c r="U297" s="260"/>
    </row>
    <row r="298" spans="1:22" ht="13.8" hidden="1" thickBot="1">
      <c r="E298" s="194"/>
      <c r="N298" s="156"/>
      <c r="O298" s="157"/>
      <c r="U298" s="260"/>
    </row>
    <row r="299" spans="1:22" ht="14.4" hidden="1" thickBot="1">
      <c r="E299" s="262"/>
      <c r="N299" s="156"/>
      <c r="O299" s="157"/>
      <c r="U299" s="278"/>
    </row>
    <row r="300" spans="1:22" ht="10.8" hidden="1" thickBot="1">
      <c r="N300" s="156"/>
      <c r="O300" s="157"/>
      <c r="U300" s="260"/>
    </row>
    <row r="301" spans="1:22" ht="10.8" hidden="1" thickBot="1">
      <c r="N301" s="156"/>
      <c r="O301" s="157"/>
      <c r="U301" s="260"/>
    </row>
    <row r="302" spans="1:22" ht="10.8" hidden="1" thickBot="1">
      <c r="N302" s="156"/>
      <c r="O302" s="157"/>
      <c r="U302" s="260"/>
    </row>
    <row r="303" spans="1:22" ht="13.8" hidden="1" thickBot="1">
      <c r="A303" s="136"/>
      <c r="B303" s="136"/>
      <c r="C303" s="137"/>
      <c r="D303" s="137"/>
      <c r="E303" s="194"/>
      <c r="F303" s="136"/>
      <c r="G303" s="138"/>
      <c r="H303" s="136"/>
      <c r="I303" s="136"/>
      <c r="J303" s="136"/>
      <c r="K303" s="136"/>
      <c r="L303" s="136"/>
      <c r="M303" s="136"/>
      <c r="N303" s="136"/>
      <c r="O303" s="136"/>
      <c r="P303" s="136"/>
      <c r="S303" s="138"/>
      <c r="T303" s="138"/>
      <c r="U303" s="235"/>
    </row>
    <row r="304" spans="1:22" ht="10.8" hidden="1" thickBot="1">
      <c r="A304" s="136"/>
      <c r="B304" s="161"/>
      <c r="C304" s="137"/>
      <c r="D304" s="137"/>
      <c r="F304" s="136"/>
      <c r="G304" s="138"/>
      <c r="H304" s="136"/>
      <c r="I304" s="136"/>
      <c r="J304" s="136"/>
      <c r="K304" s="136"/>
      <c r="L304" s="136"/>
      <c r="M304" s="136"/>
      <c r="N304" s="136"/>
      <c r="O304" s="161"/>
      <c r="P304" s="136"/>
      <c r="S304" s="138"/>
      <c r="T304" s="138"/>
      <c r="U304" s="235"/>
      <c r="V304" s="213"/>
    </row>
    <row r="305" spans="1:26" ht="13.8" thickBot="1">
      <c r="A305" s="167" t="s">
        <v>1294</v>
      </c>
      <c r="B305" s="534" t="s">
        <v>1293</v>
      </c>
      <c r="C305" s="144">
        <v>41951</v>
      </c>
      <c r="D305" s="562">
        <v>41866</v>
      </c>
      <c r="E305" s="534" t="s">
        <v>1295</v>
      </c>
      <c r="F305" s="143"/>
      <c r="G305" s="145" t="s">
        <v>1296</v>
      </c>
      <c r="H305" s="143" t="s">
        <v>1297</v>
      </c>
      <c r="I305" s="143" t="s">
        <v>168</v>
      </c>
      <c r="J305" s="143" t="s">
        <v>51</v>
      </c>
      <c r="K305" s="143"/>
      <c r="L305" s="143" t="s">
        <v>1298</v>
      </c>
      <c r="M305" s="143"/>
      <c r="N305" s="253" t="s">
        <v>1299</v>
      </c>
      <c r="O305" s="148">
        <f>790+60</f>
        <v>850</v>
      </c>
      <c r="P305" s="143"/>
      <c r="Q305" s="143" t="s">
        <v>1300</v>
      </c>
      <c r="R305" s="145">
        <v>1</v>
      </c>
      <c r="S305" s="145">
        <v>2</v>
      </c>
      <c r="T305" s="145">
        <v>3</v>
      </c>
      <c r="U305" s="586"/>
      <c r="V305" s="238">
        <v>41917</v>
      </c>
      <c r="W305" s="143" t="s">
        <v>1301</v>
      </c>
      <c r="X305" s="143" t="s">
        <v>1154</v>
      </c>
      <c r="Y305" s="143"/>
      <c r="Z305" s="143"/>
    </row>
    <row r="306" spans="1:26" ht="10.8" thickBot="1">
      <c r="A306" s="623" t="s">
        <v>775</v>
      </c>
      <c r="B306" s="636" t="s">
        <v>829</v>
      </c>
      <c r="C306" s="645">
        <v>41916</v>
      </c>
      <c r="D306" s="653">
        <v>41930</v>
      </c>
      <c r="E306" s="663" t="s">
        <v>773</v>
      </c>
      <c r="F306" s="271"/>
      <c r="G306" s="273" t="s">
        <v>774</v>
      </c>
      <c r="H306" s="271" t="s">
        <v>772</v>
      </c>
      <c r="I306" s="271" t="s">
        <v>168</v>
      </c>
      <c r="J306" s="271" t="s">
        <v>51</v>
      </c>
      <c r="K306" s="271" t="s">
        <v>1171</v>
      </c>
      <c r="L306" s="271" t="s">
        <v>777</v>
      </c>
      <c r="M306" s="271"/>
      <c r="N306" s="274" t="s">
        <v>776</v>
      </c>
      <c r="O306" s="275">
        <v>0</v>
      </c>
      <c r="P306" s="271"/>
      <c r="Q306" s="271" t="s">
        <v>1184</v>
      </c>
      <c r="R306" s="273">
        <v>0</v>
      </c>
      <c r="S306" s="273">
        <v>5</v>
      </c>
      <c r="T306" s="273"/>
      <c r="U306" s="673">
        <v>420</v>
      </c>
      <c r="V306" s="276">
        <v>41542</v>
      </c>
      <c r="W306" s="271" t="s">
        <v>1170</v>
      </c>
      <c r="X306" s="271" t="s">
        <v>1154</v>
      </c>
      <c r="Y306" s="271"/>
      <c r="Z306" s="271"/>
    </row>
    <row r="307" spans="1:26" ht="13.8" thickBot="1">
      <c r="A307" s="291" t="s">
        <v>1501</v>
      </c>
      <c r="B307" s="291" t="s">
        <v>1502</v>
      </c>
      <c r="C307" s="292">
        <v>42483</v>
      </c>
      <c r="D307" s="554">
        <v>42497</v>
      </c>
      <c r="E307" s="570" t="s">
        <v>1503</v>
      </c>
      <c r="F307" s="291"/>
      <c r="G307" s="293" t="s">
        <v>1504</v>
      </c>
      <c r="H307" s="291" t="s">
        <v>456</v>
      </c>
      <c r="I307" s="291" t="s">
        <v>168</v>
      </c>
      <c r="J307" s="291" t="s">
        <v>51</v>
      </c>
      <c r="K307" s="291"/>
      <c r="L307" s="291" t="s">
        <v>1505</v>
      </c>
      <c r="M307" s="291"/>
      <c r="N307" s="294" t="s">
        <v>1506</v>
      </c>
      <c r="O307" s="295">
        <f>790*2+70+80</f>
        <v>1730</v>
      </c>
      <c r="P307" s="291"/>
      <c r="Q307" s="291" t="s">
        <v>1507</v>
      </c>
      <c r="R307" s="293">
        <v>2</v>
      </c>
      <c r="S307" s="293" t="s">
        <v>1507</v>
      </c>
      <c r="T307" s="293">
        <v>2</v>
      </c>
      <c r="U307" s="591">
        <v>1580</v>
      </c>
      <c r="V307" s="297">
        <v>42379</v>
      </c>
      <c r="W307" s="298" t="s">
        <v>1525</v>
      </c>
      <c r="X307" s="291" t="s">
        <v>1154</v>
      </c>
      <c r="Y307" s="291"/>
      <c r="Z307" s="291"/>
    </row>
    <row r="308" spans="1:26" ht="13.8" thickBot="1">
      <c r="A308" s="620" t="s">
        <v>1478</v>
      </c>
      <c r="B308" s="634" t="s">
        <v>528</v>
      </c>
      <c r="C308" s="292">
        <v>42497</v>
      </c>
      <c r="D308" s="554">
        <v>42510</v>
      </c>
      <c r="E308" s="570" t="s">
        <v>1479</v>
      </c>
      <c r="F308" s="291"/>
      <c r="G308" s="293" t="s">
        <v>1480</v>
      </c>
      <c r="H308" s="291" t="s">
        <v>1481</v>
      </c>
      <c r="I308" s="291" t="s">
        <v>168</v>
      </c>
      <c r="J308" s="291" t="s">
        <v>51</v>
      </c>
      <c r="K308" s="291" t="s">
        <v>1482</v>
      </c>
      <c r="L308" s="291" t="s">
        <v>1483</v>
      </c>
      <c r="M308" s="291"/>
      <c r="N308" s="294" t="s">
        <v>1484</v>
      </c>
      <c r="O308" s="295">
        <f>790+890+70+42</f>
        <v>1792</v>
      </c>
      <c r="P308" s="291"/>
      <c r="Q308" s="291"/>
      <c r="R308" s="293">
        <v>2</v>
      </c>
      <c r="S308" s="293" t="s">
        <v>1025</v>
      </c>
      <c r="T308" s="293">
        <v>1</v>
      </c>
      <c r="U308" s="591">
        <v>420</v>
      </c>
      <c r="V308" s="298"/>
      <c r="W308" s="291"/>
      <c r="X308" s="291"/>
      <c r="Y308" s="291"/>
      <c r="Z308" s="291"/>
    </row>
    <row r="309" spans="1:26" ht="13.8" thickBot="1">
      <c r="A309" s="291" t="s">
        <v>775</v>
      </c>
      <c r="B309" s="291" t="s">
        <v>829</v>
      </c>
      <c r="C309" s="292">
        <v>42924</v>
      </c>
      <c r="D309" s="554">
        <v>42938</v>
      </c>
      <c r="E309" s="570" t="s">
        <v>773</v>
      </c>
      <c r="F309" s="291"/>
      <c r="G309" s="293" t="s">
        <v>774</v>
      </c>
      <c r="H309" s="291" t="s">
        <v>772</v>
      </c>
      <c r="I309" s="291" t="s">
        <v>168</v>
      </c>
      <c r="J309" s="291" t="s">
        <v>180</v>
      </c>
      <c r="K309" s="291" t="s">
        <v>1578</v>
      </c>
      <c r="L309" s="291" t="s">
        <v>777</v>
      </c>
      <c r="M309" s="291"/>
      <c r="N309" s="294" t="s">
        <v>1577</v>
      </c>
      <c r="O309" s="295">
        <f>945*4</f>
        <v>3780</v>
      </c>
      <c r="P309" s="291"/>
      <c r="Q309" s="291" t="s">
        <v>1579</v>
      </c>
      <c r="R309" s="293">
        <v>2</v>
      </c>
      <c r="S309" s="293">
        <v>5</v>
      </c>
      <c r="T309" s="293"/>
      <c r="U309" s="591">
        <f>O309/4</f>
        <v>945</v>
      </c>
      <c r="V309" s="291" t="s">
        <v>1170</v>
      </c>
      <c r="W309" s="291"/>
      <c r="X309" s="291"/>
      <c r="Y309" s="291"/>
      <c r="Z309" s="291"/>
    </row>
    <row r="310" spans="1:26" ht="10.8" thickBot="1">
      <c r="A310" s="517" t="s">
        <v>1792</v>
      </c>
      <c r="B310" s="539" t="s">
        <v>1793</v>
      </c>
      <c r="C310" s="116">
        <v>43253</v>
      </c>
      <c r="D310" s="568">
        <v>43274</v>
      </c>
      <c r="E310" s="535" t="s">
        <v>1794</v>
      </c>
      <c r="F310" s="115"/>
      <c r="G310" s="361" t="s">
        <v>1795</v>
      </c>
      <c r="H310" s="115" t="s">
        <v>1796</v>
      </c>
      <c r="I310" s="115" t="s">
        <v>168</v>
      </c>
      <c r="J310" s="115" t="s">
        <v>51</v>
      </c>
      <c r="K310" s="115"/>
      <c r="L310" s="115" t="s">
        <v>1797</v>
      </c>
      <c r="M310" s="115"/>
      <c r="N310" s="128" t="s">
        <v>1798</v>
      </c>
      <c r="O310" s="118">
        <f>1190*3</f>
        <v>3570</v>
      </c>
      <c r="P310" s="115"/>
      <c r="Q310" s="115" t="s">
        <v>1933</v>
      </c>
      <c r="R310" s="361">
        <v>3</v>
      </c>
      <c r="S310" s="361">
        <v>4</v>
      </c>
      <c r="T310" s="361">
        <v>0</v>
      </c>
      <c r="U310" s="598">
        <v>892.5</v>
      </c>
      <c r="V310" s="120">
        <v>42979</v>
      </c>
      <c r="W310" s="115"/>
      <c r="X310" s="115" t="s">
        <v>1154</v>
      </c>
      <c r="Y310" s="115"/>
      <c r="Z310" s="115"/>
    </row>
    <row r="311" spans="1:26" ht="10.8" thickBot="1">
      <c r="A311" s="518" t="s">
        <v>1884</v>
      </c>
      <c r="B311" s="540" t="s">
        <v>256</v>
      </c>
      <c r="C311" s="357">
        <v>43288</v>
      </c>
      <c r="D311" s="557">
        <v>43302</v>
      </c>
      <c r="E311" s="540" t="s">
        <v>1885</v>
      </c>
      <c r="F311" s="355"/>
      <c r="G311" s="358" t="s">
        <v>1886</v>
      </c>
      <c r="H311" s="355" t="s">
        <v>1887</v>
      </c>
      <c r="I311" s="355" t="s">
        <v>168</v>
      </c>
      <c r="J311" s="355" t="s">
        <v>19</v>
      </c>
      <c r="K311" s="355" t="s">
        <v>1889</v>
      </c>
      <c r="L311" s="355" t="s">
        <v>1888</v>
      </c>
      <c r="M311" s="355"/>
      <c r="N311" s="365" t="s">
        <v>1890</v>
      </c>
      <c r="O311" s="359">
        <v>3380</v>
      </c>
      <c r="P311" s="355"/>
      <c r="Q311" s="355" t="s">
        <v>1891</v>
      </c>
      <c r="R311" s="358">
        <v>2</v>
      </c>
      <c r="S311" s="358">
        <v>4</v>
      </c>
      <c r="T311" s="358">
        <v>2</v>
      </c>
      <c r="U311" s="478" t="s">
        <v>1832</v>
      </c>
      <c r="V311" s="360">
        <v>43092</v>
      </c>
      <c r="W311" s="355" t="s">
        <v>1769</v>
      </c>
      <c r="X311" s="355" t="s">
        <v>1154</v>
      </c>
      <c r="Y311" s="355"/>
      <c r="Z311" s="355"/>
    </row>
    <row r="312" spans="1:26" ht="11.55" customHeight="1">
      <c r="A312" s="392" t="s">
        <v>1913</v>
      </c>
      <c r="B312" s="392" t="s">
        <v>304</v>
      </c>
      <c r="C312" s="393">
        <v>43372</v>
      </c>
      <c r="D312" s="393">
        <v>43379</v>
      </c>
      <c r="E312" s="392" t="s">
        <v>1919</v>
      </c>
      <c r="F312" s="392"/>
      <c r="G312" s="394" t="s">
        <v>1914</v>
      </c>
      <c r="H312" s="395" t="s">
        <v>1918</v>
      </c>
      <c r="I312" s="392" t="s">
        <v>168</v>
      </c>
      <c r="J312" s="392" t="s">
        <v>19</v>
      </c>
      <c r="K312" s="396"/>
      <c r="L312" s="396" t="s">
        <v>1915</v>
      </c>
      <c r="M312" s="392"/>
      <c r="N312" s="397" t="s">
        <v>1916</v>
      </c>
      <c r="O312" s="398"/>
      <c r="P312" s="392"/>
      <c r="Q312" s="392" t="s">
        <v>1917</v>
      </c>
      <c r="R312" s="394"/>
      <c r="S312" s="394">
        <v>2</v>
      </c>
      <c r="T312" s="394">
        <v>4</v>
      </c>
      <c r="U312" s="672" t="s">
        <v>1832</v>
      </c>
      <c r="V312" s="400">
        <v>43168</v>
      </c>
      <c r="W312" s="392" t="s">
        <v>1052</v>
      </c>
      <c r="X312" s="392" t="s">
        <v>1154</v>
      </c>
      <c r="Y312" s="392" t="s">
        <v>1921</v>
      </c>
      <c r="Z312" s="392"/>
    </row>
    <row r="313" spans="1:26" ht="11.55" customHeight="1">
      <c r="A313" s="115" t="s">
        <v>2279</v>
      </c>
      <c r="B313" s="115" t="s">
        <v>438</v>
      </c>
      <c r="C313" s="116">
        <v>43575</v>
      </c>
      <c r="D313" s="116">
        <v>43582</v>
      </c>
      <c r="E313" s="115" t="s">
        <v>2280</v>
      </c>
      <c r="F313" s="115"/>
      <c r="G313" s="361" t="s">
        <v>2281</v>
      </c>
      <c r="H313" s="364" t="s">
        <v>2282</v>
      </c>
      <c r="I313" s="115" t="s">
        <v>168</v>
      </c>
      <c r="J313" s="115" t="s">
        <v>19</v>
      </c>
      <c r="K313" s="115"/>
      <c r="L313" s="124" t="s">
        <v>2283</v>
      </c>
      <c r="M313" s="115"/>
      <c r="N313" s="121" t="s">
        <v>2284</v>
      </c>
      <c r="O313" s="118">
        <v>790</v>
      </c>
      <c r="P313" s="115"/>
      <c r="Q313" s="115" t="s">
        <v>2285</v>
      </c>
      <c r="R313" s="361">
        <v>1</v>
      </c>
      <c r="S313" s="361">
        <v>4</v>
      </c>
      <c r="T313" s="361">
        <v>1</v>
      </c>
      <c r="U313" s="129">
        <v>390</v>
      </c>
      <c r="V313" s="120"/>
      <c r="W313" s="115"/>
      <c r="X313" s="115"/>
      <c r="Y313" s="115"/>
      <c r="Z313" s="115"/>
    </row>
    <row r="314" spans="1:26" ht="11.55" customHeight="1">
      <c r="A314" s="355" t="s">
        <v>2271</v>
      </c>
      <c r="B314" s="355" t="s">
        <v>2286</v>
      </c>
      <c r="C314" s="357">
        <v>43596</v>
      </c>
      <c r="D314" s="357">
        <v>43603</v>
      </c>
      <c r="E314" s="355" t="s">
        <v>2272</v>
      </c>
      <c r="F314" s="355"/>
      <c r="G314" s="358" t="s">
        <v>2273</v>
      </c>
      <c r="H314" s="367" t="s">
        <v>2274</v>
      </c>
      <c r="I314" s="355" t="s">
        <v>168</v>
      </c>
      <c r="J314" s="355" t="s">
        <v>1023</v>
      </c>
      <c r="K314" s="355" t="s">
        <v>2276</v>
      </c>
      <c r="L314" s="368" t="s">
        <v>2275</v>
      </c>
      <c r="M314" s="355"/>
      <c r="N314" s="401" t="s">
        <v>2277</v>
      </c>
      <c r="O314" s="359">
        <v>890</v>
      </c>
      <c r="P314" s="355"/>
      <c r="Q314" s="355" t="s">
        <v>2278</v>
      </c>
      <c r="R314" s="358">
        <v>1</v>
      </c>
      <c r="S314" s="358">
        <v>3</v>
      </c>
      <c r="T314" s="358">
        <v>2</v>
      </c>
      <c r="U314" s="478" t="s">
        <v>1832</v>
      </c>
      <c r="V314" s="360">
        <v>43561</v>
      </c>
      <c r="W314" s="355"/>
      <c r="X314" s="355"/>
      <c r="Y314" s="355"/>
      <c r="Z314" s="355"/>
    </row>
    <row r="315" spans="1:26" ht="11.55" customHeight="1">
      <c r="A315" s="115" t="s">
        <v>1973</v>
      </c>
      <c r="B315" s="115" t="s">
        <v>1972</v>
      </c>
      <c r="C315" s="116">
        <v>43673</v>
      </c>
      <c r="D315" s="116">
        <v>43694</v>
      </c>
      <c r="E315" s="115" t="s">
        <v>1975</v>
      </c>
      <c r="F315" s="115"/>
      <c r="G315" s="361" t="s">
        <v>1976</v>
      </c>
      <c r="H315" s="115" t="s">
        <v>1977</v>
      </c>
      <c r="I315" s="115" t="s">
        <v>168</v>
      </c>
      <c r="J315" s="115" t="s">
        <v>1023</v>
      </c>
      <c r="K315" s="115"/>
      <c r="L315" s="115" t="s">
        <v>1978</v>
      </c>
      <c r="M315" s="115"/>
      <c r="N315" s="121" t="s">
        <v>1974</v>
      </c>
      <c r="O315" s="118">
        <f>1990*3+750+250</f>
        <v>6970</v>
      </c>
      <c r="P315" s="115"/>
      <c r="Q315" s="115" t="s">
        <v>2327</v>
      </c>
      <c r="R315" s="361">
        <v>3</v>
      </c>
      <c r="S315" s="361">
        <v>4</v>
      </c>
      <c r="T315" s="361">
        <v>2</v>
      </c>
      <c r="U315" s="598" t="s">
        <v>2027</v>
      </c>
      <c r="V315" s="120"/>
      <c r="W315" s="115"/>
      <c r="X315" s="115"/>
      <c r="Y315" s="115"/>
      <c r="Z315" s="115"/>
    </row>
    <row r="316" spans="1:26" ht="11.55" customHeight="1">
      <c r="A316" s="512" t="s">
        <v>355</v>
      </c>
      <c r="B316" s="139" t="s">
        <v>356</v>
      </c>
      <c r="C316" s="352">
        <v>38605</v>
      </c>
      <c r="D316" s="352">
        <v>38619</v>
      </c>
      <c r="I316" s="139" t="s">
        <v>168</v>
      </c>
      <c r="J316" s="139" t="s">
        <v>19</v>
      </c>
      <c r="N316" s="156" t="s">
        <v>354</v>
      </c>
      <c r="O316" s="157">
        <f>520*2</f>
        <v>1040</v>
      </c>
      <c r="R316" s="140">
        <v>2</v>
      </c>
      <c r="S316" s="140">
        <v>6</v>
      </c>
    </row>
    <row r="317" spans="1:26" ht="11.55" customHeight="1">
      <c r="A317" s="143" t="s">
        <v>1442</v>
      </c>
      <c r="B317" s="143"/>
      <c r="C317" s="144">
        <v>42203</v>
      </c>
      <c r="D317" s="144">
        <v>42210</v>
      </c>
      <c r="E317" s="143" t="s">
        <v>1443</v>
      </c>
      <c r="F317" s="143"/>
      <c r="G317" s="145" t="s">
        <v>1444</v>
      </c>
      <c r="H317" s="143" t="s">
        <v>1445</v>
      </c>
      <c r="I317" s="143" t="s">
        <v>1446</v>
      </c>
      <c r="J317" s="143" t="s">
        <v>180</v>
      </c>
      <c r="K317" s="143"/>
      <c r="L317" s="143" t="s">
        <v>1447</v>
      </c>
      <c r="M317" s="143"/>
      <c r="N317" s="281" t="s">
        <v>1448</v>
      </c>
      <c r="O317" s="148">
        <v>1790</v>
      </c>
      <c r="P317" s="143"/>
      <c r="Q317" s="143" t="s">
        <v>1449</v>
      </c>
      <c r="R317" s="145">
        <v>1</v>
      </c>
      <c r="S317" s="145" t="s">
        <v>1362</v>
      </c>
      <c r="T317" s="145">
        <v>0</v>
      </c>
      <c r="U317" s="586">
        <f>1790/4</f>
        <v>447.5</v>
      </c>
      <c r="V317" s="238">
        <v>42158</v>
      </c>
      <c r="W317" s="143" t="s">
        <v>1450</v>
      </c>
      <c r="X317" s="143" t="s">
        <v>1217</v>
      </c>
      <c r="Y317" s="143"/>
      <c r="Z317" s="143"/>
    </row>
    <row r="318" spans="1:26" ht="11.55" customHeight="1">
      <c r="A318" s="136"/>
      <c r="B318" s="136"/>
      <c r="C318" s="137"/>
      <c r="D318" s="137"/>
      <c r="E318" s="136"/>
      <c r="F318" s="136"/>
      <c r="G318" s="138"/>
      <c r="H318" s="136"/>
      <c r="I318" s="136"/>
      <c r="J318" s="136"/>
      <c r="K318" s="136"/>
      <c r="L318" s="136"/>
      <c r="M318" s="136"/>
      <c r="N318" s="136"/>
      <c r="O318" s="136"/>
      <c r="P318" s="136"/>
      <c r="S318" s="138"/>
      <c r="T318" s="138"/>
      <c r="U318" s="136"/>
    </row>
    <row r="319" spans="1:26" ht="11.55" customHeight="1">
      <c r="A319" s="141" t="s">
        <v>361</v>
      </c>
      <c r="B319" s="136"/>
      <c r="C319" s="137"/>
      <c r="D319" s="137"/>
      <c r="E319" s="136"/>
      <c r="F319" s="136"/>
      <c r="G319" s="138"/>
      <c r="H319" s="136"/>
      <c r="I319" s="136"/>
      <c r="J319" s="136"/>
      <c r="K319" s="136"/>
      <c r="L319" s="136"/>
      <c r="M319" s="136"/>
      <c r="N319" s="136"/>
      <c r="O319" s="136"/>
      <c r="P319" s="136"/>
      <c r="S319" s="138"/>
      <c r="T319" s="138"/>
      <c r="U319" s="136"/>
    </row>
    <row r="320" spans="1:26" ht="11.55" customHeight="1">
      <c r="E320" s="155"/>
      <c r="N320" s="156"/>
      <c r="O320" s="157"/>
      <c r="U320" s="605"/>
    </row>
    <row r="321" spans="1:26" ht="11.55" customHeight="1">
      <c r="A321" s="136" t="s">
        <v>462</v>
      </c>
      <c r="B321" s="522">
        <f>SUM(O305:O321)</f>
        <v>26582</v>
      </c>
      <c r="N321" s="156"/>
      <c r="O321" s="157"/>
      <c r="U321" s="605"/>
    </row>
    <row r="322" spans="1:26">
      <c r="A322" s="136" t="s">
        <v>463</v>
      </c>
      <c r="B322" s="527">
        <f>SUM(R305:R321)</f>
        <v>20</v>
      </c>
      <c r="C322" s="545">
        <f>B321/B322</f>
        <v>1329.1</v>
      </c>
      <c r="D322" s="137"/>
      <c r="E322" s="136"/>
      <c r="F322" s="136"/>
      <c r="G322" s="138"/>
      <c r="H322" s="136"/>
      <c r="I322" s="136"/>
      <c r="J322" s="136"/>
      <c r="K322" s="136"/>
      <c r="L322" s="136"/>
      <c r="M322" s="136"/>
      <c r="P322" s="136"/>
      <c r="S322" s="138"/>
      <c r="T322" s="138"/>
      <c r="U322" s="186"/>
    </row>
    <row r="323" spans="1:26" s="143" customFormat="1">
      <c r="A323" s="136"/>
      <c r="B323" s="136"/>
      <c r="C323" s="137"/>
      <c r="D323" s="137"/>
      <c r="E323" s="136"/>
      <c r="F323" s="136"/>
      <c r="G323" s="138"/>
      <c r="H323" s="136"/>
      <c r="I323" s="136"/>
      <c r="J323" s="136"/>
      <c r="K323" s="136"/>
      <c r="L323" s="136"/>
      <c r="M323" s="136"/>
      <c r="N323" s="139"/>
      <c r="O323" s="139"/>
      <c r="P323" s="136"/>
      <c r="Q323" s="139"/>
      <c r="R323" s="140"/>
      <c r="S323" s="138"/>
      <c r="T323" s="138"/>
      <c r="U323" s="186"/>
      <c r="V323" s="139"/>
      <c r="W323" s="139"/>
      <c r="X323" s="139"/>
      <c r="Y323" s="139"/>
      <c r="Z323" s="139"/>
    </row>
    <row r="324" spans="1:26" s="291" customFormat="1">
      <c r="A324" s="136" t="s">
        <v>464</v>
      </c>
      <c r="B324" s="533">
        <f>1577.94*12</f>
        <v>18935.28</v>
      </c>
      <c r="C324" s="137"/>
      <c r="D324" s="137"/>
      <c r="E324" s="136"/>
      <c r="F324" s="136"/>
      <c r="G324" s="138"/>
      <c r="H324" s="136"/>
      <c r="I324" s="136"/>
      <c r="J324" s="136"/>
      <c r="K324" s="136"/>
      <c r="L324" s="136"/>
      <c r="M324" s="136"/>
      <c r="N324" s="136"/>
      <c r="O324" s="161"/>
      <c r="P324" s="136"/>
      <c r="Q324" s="139"/>
      <c r="R324" s="140"/>
      <c r="S324" s="138"/>
      <c r="T324" s="138"/>
      <c r="U324" s="186"/>
      <c r="V324" s="139"/>
      <c r="W324" s="139"/>
      <c r="X324" s="139"/>
      <c r="Y324" s="139"/>
      <c r="Z324" s="139"/>
    </row>
    <row r="325" spans="1:26" s="143" customFormat="1">
      <c r="A325" s="136"/>
      <c r="B325" s="136"/>
      <c r="C325" s="137"/>
      <c r="D325" s="137"/>
      <c r="E325" s="136"/>
      <c r="F325" s="136"/>
      <c r="G325" s="138"/>
      <c r="H325" s="136"/>
      <c r="I325" s="136"/>
      <c r="J325" s="136"/>
      <c r="K325" s="136"/>
      <c r="L325" s="136"/>
      <c r="M325" s="136"/>
      <c r="N325" s="136"/>
      <c r="O325" s="161"/>
      <c r="P325" s="136"/>
      <c r="Q325" s="139"/>
      <c r="R325" s="140"/>
      <c r="S325" s="138"/>
      <c r="T325" s="138"/>
      <c r="U325" s="186"/>
      <c r="V325" s="139"/>
      <c r="W325" s="139"/>
      <c r="X325" s="139"/>
      <c r="Y325" s="139"/>
      <c r="Z325" s="139"/>
    </row>
    <row r="326" spans="1:26" s="291" customFormat="1" ht="11.25" customHeight="1">
      <c r="A326" s="136" t="s">
        <v>465</v>
      </c>
      <c r="B326" s="162">
        <f>B321-B324</f>
        <v>7646.7200000000012</v>
      </c>
      <c r="C326" s="137"/>
      <c r="D326" s="137"/>
      <c r="E326" s="136"/>
      <c r="F326" s="136"/>
      <c r="G326" s="138"/>
      <c r="H326" s="136"/>
      <c r="I326" s="136"/>
      <c r="J326" s="136"/>
      <c r="K326" s="136"/>
      <c r="L326" s="136"/>
      <c r="M326" s="136"/>
      <c r="N326" s="136"/>
      <c r="O326" s="161"/>
      <c r="P326" s="136"/>
      <c r="Q326" s="139"/>
      <c r="R326" s="140"/>
      <c r="S326" s="138"/>
      <c r="T326" s="138"/>
      <c r="U326" s="186"/>
      <c r="V326" s="139"/>
      <c r="W326" s="139"/>
      <c r="X326" s="139"/>
      <c r="Y326" s="139"/>
      <c r="Z326" s="139"/>
    </row>
    <row r="327" spans="1:26" s="291" customFormat="1">
      <c r="A327" s="136" t="s">
        <v>466</v>
      </c>
      <c r="B327" s="162">
        <f>B321/12</f>
        <v>2215.1666666666665</v>
      </c>
      <c r="C327" s="137"/>
      <c r="D327" s="137"/>
      <c r="E327" s="136"/>
      <c r="F327" s="136"/>
      <c r="G327" s="138"/>
      <c r="H327" s="136"/>
      <c r="I327" s="136"/>
      <c r="J327" s="136"/>
      <c r="K327" s="136"/>
      <c r="L327" s="136"/>
      <c r="M327" s="136"/>
      <c r="N327" s="136"/>
      <c r="O327" s="161"/>
      <c r="P327" s="136"/>
      <c r="Q327" s="139"/>
      <c r="R327" s="140"/>
      <c r="S327" s="138"/>
      <c r="T327" s="138"/>
      <c r="U327" s="186"/>
      <c r="V327" s="139"/>
      <c r="W327" s="139"/>
      <c r="X327" s="139"/>
      <c r="Y327" s="139"/>
      <c r="Z327" s="139"/>
    </row>
    <row r="328" spans="1:26" s="291" customFormat="1">
      <c r="A328" s="136"/>
      <c r="B328" s="136"/>
      <c r="C328" s="137"/>
      <c r="D328" s="137"/>
      <c r="E328" s="136"/>
      <c r="F328" s="136"/>
      <c r="G328" s="138"/>
      <c r="H328" s="136"/>
      <c r="I328" s="136"/>
      <c r="J328" s="136"/>
      <c r="K328" s="136"/>
      <c r="L328" s="136"/>
      <c r="M328" s="136"/>
      <c r="N328" s="136"/>
      <c r="O328" s="161"/>
      <c r="P328" s="136"/>
      <c r="Q328" s="139"/>
      <c r="R328" s="140"/>
      <c r="S328" s="138"/>
      <c r="T328" s="138"/>
      <c r="U328" s="186"/>
      <c r="V328" s="139"/>
      <c r="W328" s="139"/>
      <c r="X328" s="139"/>
      <c r="Y328" s="139"/>
      <c r="Z328" s="139"/>
    </row>
    <row r="329" spans="1:26" s="291" customFormat="1">
      <c r="A329" s="136"/>
      <c r="B329" s="136"/>
      <c r="C329" s="137"/>
      <c r="D329" s="137"/>
      <c r="E329" s="136"/>
      <c r="F329" s="136"/>
      <c r="G329" s="138"/>
      <c r="H329" s="136"/>
      <c r="I329" s="136"/>
      <c r="J329" s="136"/>
      <c r="K329" s="136"/>
      <c r="L329" s="136"/>
      <c r="M329" s="136"/>
      <c r="N329" s="136"/>
      <c r="O329" s="161"/>
      <c r="P329" s="136"/>
      <c r="Q329" s="139"/>
      <c r="R329" s="140"/>
      <c r="S329" s="138"/>
      <c r="T329" s="138"/>
      <c r="U329" s="186"/>
      <c r="V329" s="139"/>
      <c r="W329" s="139"/>
      <c r="X329" s="139"/>
      <c r="Y329" s="139"/>
      <c r="Z329" s="139"/>
    </row>
    <row r="330" spans="1:26" s="291" customFormat="1">
      <c r="A330" s="136"/>
      <c r="B330" s="136"/>
      <c r="C330" s="137"/>
      <c r="D330" s="137"/>
      <c r="E330" s="136"/>
      <c r="F330" s="136"/>
      <c r="G330" s="138"/>
      <c r="H330" s="136"/>
      <c r="I330" s="136"/>
      <c r="J330" s="136"/>
      <c r="K330" s="136"/>
      <c r="L330" s="136"/>
      <c r="M330" s="136"/>
      <c r="N330" s="136"/>
      <c r="O330" s="161"/>
      <c r="P330" s="136"/>
      <c r="Q330" s="139"/>
      <c r="R330" s="140"/>
      <c r="S330" s="138"/>
      <c r="T330" s="138"/>
      <c r="U330" s="186"/>
      <c r="V330" s="139"/>
      <c r="W330" s="139"/>
      <c r="X330" s="139"/>
      <c r="Y330" s="139"/>
      <c r="Z330" s="139"/>
    </row>
    <row r="331" spans="1:26" s="291" customFormat="1">
      <c r="A331" s="141" t="s">
        <v>471</v>
      </c>
      <c r="B331" s="136"/>
      <c r="C331" s="137"/>
      <c r="D331" s="137"/>
      <c r="E331" s="136"/>
      <c r="F331" s="136"/>
      <c r="G331" s="138"/>
      <c r="H331" s="136"/>
      <c r="I331" s="136"/>
      <c r="J331" s="136"/>
      <c r="K331" s="136"/>
      <c r="L331" s="136"/>
      <c r="M331" s="136"/>
      <c r="N331" s="136"/>
      <c r="O331" s="161"/>
      <c r="P331" s="136"/>
      <c r="Q331" s="139"/>
      <c r="R331" s="140"/>
      <c r="S331" s="138"/>
      <c r="T331" s="138"/>
      <c r="U331" s="186"/>
      <c r="V331" s="139"/>
      <c r="W331" s="139"/>
      <c r="X331" s="139"/>
      <c r="Y331" s="139"/>
      <c r="Z331" s="139"/>
    </row>
    <row r="332" spans="1:26" s="291" customFormat="1" ht="13.2" hidden="1">
      <c r="C332" s="292"/>
      <c r="D332" s="292"/>
      <c r="G332" s="293"/>
      <c r="N332" s="294"/>
      <c r="O332" s="295"/>
      <c r="R332" s="293"/>
      <c r="S332" s="293"/>
      <c r="T332" s="293"/>
      <c r="U332" s="296"/>
      <c r="V332" s="298"/>
    </row>
    <row r="333" spans="1:26" s="291" customFormat="1" ht="13.2" hidden="1">
      <c r="C333" s="292"/>
      <c r="D333" s="292"/>
      <c r="G333" s="293"/>
      <c r="N333" s="294"/>
      <c r="O333" s="295"/>
      <c r="R333" s="293"/>
      <c r="S333" s="293"/>
      <c r="T333" s="293"/>
      <c r="U333" s="296"/>
      <c r="V333" s="298"/>
    </row>
    <row r="334" spans="1:26" s="291" customFormat="1" ht="13.2" hidden="1">
      <c r="C334" s="292"/>
      <c r="D334" s="292"/>
      <c r="G334" s="293"/>
      <c r="N334" s="294"/>
      <c r="O334" s="295"/>
      <c r="R334" s="293"/>
      <c r="S334" s="293"/>
      <c r="T334" s="293"/>
      <c r="U334" s="296"/>
      <c r="V334" s="298"/>
    </row>
    <row r="335" spans="1:26" s="291" customFormat="1" ht="13.2" hidden="1">
      <c r="C335" s="292"/>
      <c r="D335" s="292"/>
      <c r="G335" s="293"/>
      <c r="N335" s="294"/>
      <c r="O335" s="295"/>
      <c r="R335" s="293"/>
      <c r="S335" s="293"/>
      <c r="T335" s="293"/>
      <c r="U335" s="296"/>
      <c r="V335" s="298"/>
    </row>
    <row r="336" spans="1:26" s="291" customFormat="1" ht="13.2" hidden="1">
      <c r="C336" s="292"/>
      <c r="D336" s="292"/>
      <c r="G336" s="293"/>
      <c r="N336" s="299"/>
      <c r="O336" s="295"/>
      <c r="R336" s="293"/>
      <c r="S336" s="293"/>
      <c r="T336" s="293"/>
      <c r="U336" s="296"/>
      <c r="V336" s="298"/>
    </row>
    <row r="337" spans="1:26" s="291" customFormat="1" ht="13.2" hidden="1">
      <c r="C337" s="292"/>
      <c r="D337" s="292"/>
      <c r="G337" s="293"/>
      <c r="N337" s="299"/>
      <c r="O337" s="295"/>
      <c r="R337" s="293"/>
      <c r="S337" s="293"/>
      <c r="T337" s="293"/>
      <c r="U337" s="296"/>
      <c r="V337" s="298"/>
    </row>
    <row r="338" spans="1:26" s="291" customFormat="1" ht="13.2" hidden="1">
      <c r="C338" s="292"/>
      <c r="D338" s="292"/>
      <c r="G338" s="293"/>
      <c r="N338" s="294"/>
      <c r="O338" s="295"/>
      <c r="R338" s="293"/>
      <c r="S338" s="293"/>
      <c r="T338" s="293"/>
      <c r="U338" s="296"/>
      <c r="V338" s="298"/>
    </row>
    <row r="339" spans="1:26" s="291" customFormat="1" ht="13.2" hidden="1">
      <c r="C339" s="292"/>
      <c r="D339" s="292"/>
      <c r="G339" s="293"/>
      <c r="N339" s="294"/>
      <c r="O339" s="295"/>
      <c r="R339" s="293"/>
      <c r="S339" s="293"/>
      <c r="T339" s="293"/>
      <c r="U339" s="296"/>
      <c r="V339" s="298"/>
    </row>
    <row r="340" spans="1:26" s="291" customFormat="1" ht="13.2" hidden="1">
      <c r="C340" s="292"/>
      <c r="D340" s="292"/>
      <c r="G340" s="293"/>
      <c r="N340" s="294"/>
      <c r="O340" s="295"/>
      <c r="R340" s="293"/>
      <c r="S340" s="293"/>
      <c r="T340" s="293"/>
      <c r="U340" s="296"/>
      <c r="V340" s="298"/>
    </row>
    <row r="341" spans="1:26" s="291" customFormat="1" ht="13.2" hidden="1">
      <c r="C341" s="292"/>
      <c r="D341" s="292"/>
      <c r="G341" s="293"/>
      <c r="N341" s="294"/>
      <c r="O341" s="295"/>
      <c r="R341" s="293"/>
      <c r="S341" s="293"/>
      <c r="T341" s="293"/>
      <c r="U341" s="296"/>
      <c r="V341" s="298"/>
    </row>
    <row r="342" spans="1:26" s="291" customFormat="1" ht="13.2" hidden="1">
      <c r="C342" s="292"/>
      <c r="D342" s="292"/>
      <c r="G342" s="293"/>
      <c r="N342" s="294"/>
      <c r="O342" s="295"/>
      <c r="R342" s="293"/>
      <c r="S342" s="293"/>
      <c r="T342" s="293"/>
      <c r="U342" s="296"/>
      <c r="V342" s="298"/>
    </row>
    <row r="343" spans="1:26" s="291" customFormat="1" ht="13.2" hidden="1">
      <c r="C343" s="292"/>
      <c r="D343" s="292"/>
      <c r="G343" s="293"/>
      <c r="N343" s="299"/>
      <c r="O343" s="295"/>
      <c r="R343" s="293"/>
      <c r="S343" s="293"/>
      <c r="T343" s="293"/>
      <c r="U343" s="296"/>
      <c r="V343" s="297"/>
      <c r="W343" s="298"/>
    </row>
    <row r="344" spans="1:26" s="291" customFormat="1">
      <c r="A344" s="136" t="s">
        <v>470</v>
      </c>
      <c r="B344" s="522">
        <f>SUM(O326:O344)</f>
        <v>0</v>
      </c>
      <c r="C344" s="154"/>
      <c r="D344" s="136" t="s">
        <v>574</v>
      </c>
      <c r="E344" s="139"/>
      <c r="F344" s="139"/>
      <c r="G344" s="140"/>
      <c r="H344" s="139"/>
      <c r="I344" s="139"/>
      <c r="J344" s="139"/>
      <c r="K344" s="139"/>
      <c r="L344" s="139"/>
      <c r="M344" s="139"/>
      <c r="N344" s="156"/>
      <c r="O344" s="157"/>
      <c r="P344" s="139"/>
      <c r="Q344" s="139"/>
      <c r="R344" s="140"/>
      <c r="S344" s="140"/>
      <c r="T344" s="140"/>
      <c r="U344" s="158"/>
      <c r="V344" s="139"/>
      <c r="W344" s="139"/>
      <c r="X344" s="139"/>
      <c r="Y344" s="139"/>
      <c r="Z344" s="139"/>
    </row>
    <row r="345" spans="1:26" s="291" customFormat="1">
      <c r="A345" s="136" t="s">
        <v>463</v>
      </c>
      <c r="B345" s="527">
        <f>SUM(R326:R344)</f>
        <v>0</v>
      </c>
      <c r="C345" s="544" t="e">
        <f>B344/B345</f>
        <v>#DIV/0!</v>
      </c>
      <c r="D345" s="512" t="s">
        <v>575</v>
      </c>
      <c r="E345" s="139"/>
      <c r="F345" s="136"/>
      <c r="G345" s="138"/>
      <c r="H345" s="136"/>
      <c r="I345" s="136"/>
      <c r="J345" s="136"/>
      <c r="K345" s="136"/>
      <c r="L345" s="136"/>
      <c r="M345" s="136"/>
      <c r="N345" s="139"/>
      <c r="O345" s="139"/>
      <c r="P345" s="136"/>
      <c r="Q345" s="139"/>
      <c r="R345" s="140"/>
      <c r="S345" s="138"/>
      <c r="T345" s="138"/>
      <c r="U345" s="186"/>
      <c r="V345" s="139"/>
      <c r="W345" s="139"/>
      <c r="X345" s="139"/>
      <c r="Y345" s="139"/>
      <c r="Z345" s="139"/>
    </row>
    <row r="346" spans="1:26" s="291" customFormat="1">
      <c r="A346" s="136"/>
      <c r="B346" s="136"/>
      <c r="C346" s="137"/>
      <c r="D346" s="512" t="s">
        <v>576</v>
      </c>
      <c r="E346" s="139"/>
      <c r="F346" s="136"/>
      <c r="G346" s="138"/>
      <c r="H346" s="136"/>
      <c r="I346" s="136"/>
      <c r="J346" s="136"/>
      <c r="K346" s="136"/>
      <c r="L346" s="136"/>
      <c r="M346" s="136"/>
      <c r="N346" s="139"/>
      <c r="O346" s="139"/>
      <c r="P346" s="136"/>
      <c r="Q346" s="139"/>
      <c r="R346" s="140"/>
      <c r="S346" s="138"/>
      <c r="T346" s="138"/>
      <c r="U346" s="186"/>
      <c r="V346" s="139"/>
      <c r="W346" s="139"/>
      <c r="X346" s="139"/>
      <c r="Y346" s="139"/>
      <c r="Z346" s="139"/>
    </row>
    <row r="347" spans="1:26" s="291" customFormat="1">
      <c r="A347" s="136" t="s">
        <v>464</v>
      </c>
      <c r="B347" s="533">
        <f>1577.94*12</f>
        <v>18935.28</v>
      </c>
      <c r="C347" s="137"/>
      <c r="D347" s="512" t="s">
        <v>579</v>
      </c>
      <c r="E347" s="139">
        <v>1500</v>
      </c>
      <c r="F347" s="136"/>
      <c r="G347" s="138"/>
      <c r="H347" s="136"/>
      <c r="I347" s="188"/>
      <c r="J347" s="136"/>
      <c r="K347" s="136"/>
      <c r="L347" s="136"/>
      <c r="M347" s="136"/>
      <c r="N347" s="161"/>
      <c r="O347" s="161"/>
      <c r="P347" s="136"/>
      <c r="Q347" s="139"/>
      <c r="R347" s="140"/>
      <c r="S347" s="138"/>
      <c r="T347" s="138"/>
      <c r="U347" s="186"/>
      <c r="V347" s="139"/>
      <c r="W347" s="139"/>
      <c r="X347" s="139"/>
      <c r="Y347" s="139"/>
      <c r="Z347" s="139"/>
    </row>
    <row r="348" spans="1:26" s="291" customFormat="1">
      <c r="A348" s="136"/>
      <c r="B348" s="136"/>
      <c r="C348" s="137"/>
      <c r="D348" s="512" t="s">
        <v>577</v>
      </c>
      <c r="E348" s="139">
        <v>712</v>
      </c>
      <c r="F348" s="136"/>
      <c r="G348" s="138"/>
      <c r="H348" s="136"/>
      <c r="I348" s="136"/>
      <c r="J348" s="136"/>
      <c r="K348" s="136"/>
      <c r="L348" s="136"/>
      <c r="M348" s="136"/>
      <c r="N348" s="136"/>
      <c r="O348" s="161"/>
      <c r="P348" s="136"/>
      <c r="Q348" s="139"/>
      <c r="R348" s="140"/>
      <c r="S348" s="138"/>
      <c r="T348" s="138"/>
      <c r="U348" s="186"/>
      <c r="V348" s="139"/>
      <c r="W348" s="139"/>
      <c r="X348" s="139"/>
      <c r="Y348" s="139"/>
      <c r="Z348" s="139"/>
    </row>
    <row r="349" spans="1:26" s="302" customFormat="1">
      <c r="A349" s="136" t="s">
        <v>465</v>
      </c>
      <c r="B349" s="162">
        <f>B344-B347</f>
        <v>-18935.28</v>
      </c>
      <c r="C349" s="137"/>
      <c r="D349" s="512" t="s">
        <v>578</v>
      </c>
      <c r="E349" s="139"/>
      <c r="F349" s="136"/>
      <c r="G349" s="138"/>
      <c r="H349" s="136"/>
      <c r="I349" s="136"/>
      <c r="J349" s="136"/>
      <c r="K349" s="136"/>
      <c r="L349" s="136"/>
      <c r="M349" s="136"/>
      <c r="N349" s="136"/>
      <c r="O349" s="161"/>
      <c r="P349" s="136"/>
      <c r="Q349" s="139"/>
      <c r="R349" s="140"/>
      <c r="S349" s="138"/>
      <c r="T349" s="138"/>
      <c r="U349" s="186"/>
      <c r="V349" s="139"/>
      <c r="W349" s="139"/>
      <c r="X349" s="139"/>
      <c r="Y349" s="139"/>
      <c r="Z349" s="139"/>
    </row>
    <row r="350" spans="1:26" s="291" customFormat="1">
      <c r="A350" s="136" t="s">
        <v>466</v>
      </c>
      <c r="B350" s="162">
        <f>B344/12</f>
        <v>0</v>
      </c>
      <c r="C350" s="137"/>
      <c r="D350" s="137" t="s">
        <v>585</v>
      </c>
      <c r="E350" s="533">
        <f>SUM(E345:E349)</f>
        <v>2212</v>
      </c>
      <c r="F350" s="136"/>
      <c r="G350" s="138"/>
      <c r="H350" s="136"/>
      <c r="I350" s="136"/>
      <c r="J350" s="136"/>
      <c r="K350" s="136"/>
      <c r="L350" s="136"/>
      <c r="M350" s="136"/>
      <c r="N350" s="136"/>
      <c r="O350" s="161"/>
      <c r="P350" s="136"/>
      <c r="Q350" s="139"/>
      <c r="R350" s="140"/>
      <c r="S350" s="138"/>
      <c r="T350" s="138"/>
      <c r="U350" s="186"/>
      <c r="V350" s="139"/>
      <c r="W350" s="139"/>
      <c r="X350" s="139"/>
      <c r="Y350" s="139"/>
      <c r="Z350" s="139"/>
    </row>
    <row r="351" spans="1:26" s="310" customFormat="1">
      <c r="A351" s="139"/>
      <c r="B351" s="139"/>
      <c r="C351" s="154"/>
      <c r="D351" s="154"/>
      <c r="E351" s="139"/>
      <c r="F351" s="139"/>
      <c r="G351" s="140"/>
      <c r="H351" s="139"/>
      <c r="I351" s="139"/>
      <c r="J351" s="139"/>
      <c r="K351" s="139"/>
      <c r="L351" s="139"/>
      <c r="M351" s="139"/>
      <c r="N351" s="156"/>
      <c r="O351" s="157"/>
      <c r="P351" s="139"/>
      <c r="Q351" s="139"/>
      <c r="R351" s="140"/>
      <c r="S351" s="140"/>
      <c r="T351" s="140"/>
      <c r="U351" s="158"/>
      <c r="V351" s="139"/>
      <c r="W351" s="139"/>
      <c r="X351" s="139"/>
      <c r="Y351" s="139"/>
      <c r="Z351" s="139"/>
    </row>
    <row r="352" spans="1:26" s="317" customFormat="1" ht="13.2">
      <c r="A352" s="141" t="s">
        <v>580</v>
      </c>
      <c r="B352" s="139"/>
      <c r="C352" s="154"/>
      <c r="D352" s="154"/>
      <c r="E352" s="139"/>
      <c r="F352" s="139"/>
      <c r="G352" s="140"/>
      <c r="H352" s="139"/>
      <c r="I352" s="139"/>
      <c r="J352" s="139"/>
      <c r="K352" s="194"/>
      <c r="L352" s="194"/>
      <c r="M352" s="194"/>
      <c r="N352" s="139"/>
      <c r="O352" s="157"/>
      <c r="P352" s="139"/>
      <c r="Q352" s="139"/>
      <c r="R352" s="140"/>
      <c r="S352" s="140"/>
      <c r="T352" s="140"/>
      <c r="U352" s="158"/>
      <c r="V352" s="139"/>
      <c r="W352" s="139"/>
      <c r="X352" s="139"/>
      <c r="Y352" s="139"/>
      <c r="Z352" s="139"/>
    </row>
    <row r="353" spans="1:26" s="302" customFormat="1">
      <c r="A353" s="143" t="s">
        <v>626</v>
      </c>
      <c r="B353" s="143" t="s">
        <v>627</v>
      </c>
      <c r="C353" s="144">
        <v>40362</v>
      </c>
      <c r="D353" s="144">
        <v>40369</v>
      </c>
      <c r="E353" s="143"/>
      <c r="F353" s="143"/>
      <c r="G353" s="145"/>
      <c r="H353" s="143"/>
      <c r="I353" s="143"/>
      <c r="J353" s="143" t="s">
        <v>51</v>
      </c>
      <c r="K353" s="143"/>
      <c r="L353" s="143"/>
      <c r="M353" s="143"/>
      <c r="N353" s="151" t="s">
        <v>625</v>
      </c>
      <c r="O353" s="204">
        <v>1390</v>
      </c>
      <c r="P353" s="143"/>
      <c r="Q353" s="173" t="s">
        <v>628</v>
      </c>
      <c r="R353" s="145">
        <v>1</v>
      </c>
      <c r="S353" s="145">
        <v>5</v>
      </c>
      <c r="T353" s="145">
        <v>0</v>
      </c>
      <c r="U353" s="205">
        <f>O353/4</f>
        <v>347.5</v>
      </c>
      <c r="V353" s="143"/>
      <c r="W353" s="143"/>
      <c r="X353" s="143"/>
      <c r="Y353" s="143"/>
      <c r="Z353" s="143"/>
    </row>
    <row r="354" spans="1:26" s="291" customFormat="1" ht="13.2">
      <c r="A354" s="143" t="s">
        <v>608</v>
      </c>
      <c r="B354" s="143"/>
      <c r="C354" s="144">
        <v>40390</v>
      </c>
      <c r="D354" s="144">
        <v>40404</v>
      </c>
      <c r="E354" s="143"/>
      <c r="F354" s="143"/>
      <c r="G354" s="145"/>
      <c r="H354" s="143"/>
      <c r="I354" s="143"/>
      <c r="J354" s="143" t="s">
        <v>19</v>
      </c>
      <c r="K354" s="143" t="s">
        <v>610</v>
      </c>
      <c r="L354" s="143" t="s">
        <v>611</v>
      </c>
      <c r="M354" s="175"/>
      <c r="N354" s="147" t="s">
        <v>609</v>
      </c>
      <c r="O354" s="148">
        <f>1590*2+70+3*14</f>
        <v>3292</v>
      </c>
      <c r="P354" s="143"/>
      <c r="Q354" s="143" t="s">
        <v>600</v>
      </c>
      <c r="R354" s="145">
        <v>2</v>
      </c>
      <c r="S354" s="145">
        <v>6</v>
      </c>
      <c r="T354" s="145">
        <v>1</v>
      </c>
      <c r="U354" s="202">
        <f>O354/4</f>
        <v>823</v>
      </c>
      <c r="V354" s="143"/>
      <c r="W354" s="143"/>
      <c r="X354" s="143"/>
      <c r="Y354" s="143"/>
      <c r="Z354" s="143"/>
    </row>
    <row r="355" spans="1:26" s="325" customFormat="1">
      <c r="A355" s="139"/>
      <c r="B355" s="139"/>
      <c r="C355" s="154"/>
      <c r="D355" s="154"/>
      <c r="E355" s="139"/>
      <c r="F355" s="139"/>
      <c r="G355" s="140"/>
      <c r="H355" s="139"/>
      <c r="I355" s="139"/>
      <c r="J355" s="139"/>
      <c r="K355" s="139"/>
      <c r="L355" s="139"/>
      <c r="M355" s="139"/>
      <c r="N355" s="156"/>
      <c r="O355" s="157"/>
      <c r="P355" s="139"/>
      <c r="Q355" s="139"/>
      <c r="R355" s="140"/>
      <c r="S355" s="140"/>
      <c r="T355" s="140"/>
      <c r="U355" s="158"/>
      <c r="V355" s="139"/>
      <c r="W355" s="139"/>
      <c r="X355" s="139"/>
      <c r="Y355" s="139"/>
      <c r="Z355" s="139"/>
    </row>
    <row r="356" spans="1:26" s="291" customFormat="1">
      <c r="A356" s="139"/>
      <c r="B356" s="139"/>
      <c r="C356" s="154"/>
      <c r="D356" s="154"/>
      <c r="E356" s="139"/>
      <c r="F356" s="139"/>
      <c r="G356" s="140"/>
      <c r="H356" s="139"/>
      <c r="I356" s="139"/>
      <c r="J356" s="139"/>
      <c r="K356" s="139"/>
      <c r="L356" s="139"/>
      <c r="M356" s="139"/>
      <c r="N356" s="156"/>
      <c r="O356" s="157"/>
      <c r="P356" s="139"/>
      <c r="Q356" s="139"/>
      <c r="R356" s="140"/>
      <c r="S356" s="140"/>
      <c r="T356" s="140"/>
      <c r="U356" s="158"/>
      <c r="V356" s="139"/>
      <c r="W356" s="139"/>
      <c r="X356" s="139"/>
      <c r="Y356" s="139"/>
      <c r="Z356" s="139"/>
    </row>
    <row r="357" spans="1:26" s="143" customFormat="1" ht="13.2">
      <c r="A357" s="136" t="s">
        <v>643</v>
      </c>
      <c r="B357" s="522">
        <f>SUM(O340:O357)</f>
        <v>4682</v>
      </c>
      <c r="C357" s="154"/>
      <c r="D357" s="141" t="s">
        <v>574</v>
      </c>
      <c r="E357" s="139"/>
      <c r="F357" s="139"/>
      <c r="G357" s="140"/>
      <c r="H357" s="139"/>
      <c r="I357" s="139"/>
      <c r="J357" s="139"/>
      <c r="K357" s="194"/>
      <c r="L357" s="139"/>
      <c r="M357" s="139"/>
      <c r="N357" s="156"/>
      <c r="O357" s="157"/>
      <c r="P357" s="139"/>
      <c r="Q357" s="139"/>
      <c r="R357" s="140"/>
      <c r="S357" s="140"/>
      <c r="T357" s="140"/>
      <c r="U357" s="158"/>
      <c r="V357" s="139"/>
      <c r="W357" s="139"/>
      <c r="X357" s="139"/>
      <c r="Y357" s="139"/>
      <c r="Z357" s="139"/>
    </row>
    <row r="358" spans="1:26" s="143" customFormat="1" ht="13.2">
      <c r="A358" s="136" t="s">
        <v>463</v>
      </c>
      <c r="B358" s="527">
        <f>SUM(R340:R357)</f>
        <v>3</v>
      </c>
      <c r="C358" s="544">
        <f>B357/B358</f>
        <v>1560.6666666666667</v>
      </c>
      <c r="D358" s="512" t="s">
        <v>575</v>
      </c>
      <c r="E358" s="139">
        <f>177*2</f>
        <v>354</v>
      </c>
      <c r="F358" s="136"/>
      <c r="G358" s="138"/>
      <c r="H358" s="136"/>
      <c r="I358" s="136"/>
      <c r="J358" s="136"/>
      <c r="K358" s="194"/>
      <c r="L358" s="136"/>
      <c r="M358" s="136"/>
      <c r="N358" s="139"/>
      <c r="O358" s="213"/>
      <c r="P358" s="136"/>
      <c r="Q358" s="139"/>
      <c r="R358" s="140"/>
      <c r="S358" s="138"/>
      <c r="T358" s="138"/>
      <c r="U358" s="186"/>
      <c r="V358" s="139"/>
      <c r="W358" s="139"/>
      <c r="X358" s="139"/>
      <c r="Y358" s="139"/>
      <c r="Z358" s="139"/>
    </row>
    <row r="359" spans="1:26" s="143" customFormat="1" ht="13.2">
      <c r="A359" s="136"/>
      <c r="B359" s="136"/>
      <c r="C359" s="137"/>
      <c r="D359" s="512" t="s">
        <v>576</v>
      </c>
      <c r="E359" s="139">
        <f>71*10</f>
        <v>710</v>
      </c>
      <c r="F359" s="136"/>
      <c r="G359" s="138"/>
      <c r="H359" s="136"/>
      <c r="I359" s="136"/>
      <c r="J359" s="136"/>
      <c r="K359" s="214"/>
      <c r="L359" s="136"/>
      <c r="M359" s="136"/>
      <c r="N359" s="139"/>
      <c r="O359" s="139"/>
      <c r="P359" s="136"/>
      <c r="Q359" s="139"/>
      <c r="R359" s="140"/>
      <c r="S359" s="138"/>
      <c r="T359" s="215"/>
      <c r="U359" s="186"/>
      <c r="V359" s="139"/>
      <c r="W359" s="139"/>
      <c r="X359" s="139"/>
      <c r="Y359" s="139"/>
      <c r="Z359" s="139"/>
    </row>
    <row r="360" spans="1:26" ht="12" customHeight="1" thickBot="1">
      <c r="A360" s="136" t="s">
        <v>464</v>
      </c>
      <c r="B360" s="533">
        <f>1577.94*12</f>
        <v>18935.28</v>
      </c>
      <c r="C360" s="137"/>
      <c r="D360" s="512" t="s">
        <v>667</v>
      </c>
      <c r="E360" s="139">
        <v>1544</v>
      </c>
      <c r="F360" s="136"/>
      <c r="G360" s="138"/>
      <c r="H360" s="136"/>
      <c r="I360" s="188"/>
      <c r="J360" s="136"/>
      <c r="K360" s="194"/>
      <c r="L360" s="136"/>
      <c r="M360" s="136"/>
      <c r="N360" s="161"/>
      <c r="O360" s="161"/>
      <c r="P360" s="136"/>
      <c r="S360" s="138"/>
      <c r="T360" s="138"/>
      <c r="U360" s="186"/>
    </row>
    <row r="361" spans="1:26" ht="10.8" hidden="1" thickBot="1">
      <c r="N361" s="156"/>
      <c r="O361" s="157"/>
      <c r="U361" s="258"/>
      <c r="V361" s="261"/>
    </row>
    <row r="362" spans="1:26" ht="10.8" hidden="1" thickBot="1">
      <c r="N362" s="156"/>
      <c r="O362" s="157"/>
      <c r="U362" s="258"/>
      <c r="V362" s="261"/>
    </row>
    <row r="363" spans="1:26" ht="10.8" hidden="1" thickBot="1">
      <c r="N363" s="156"/>
      <c r="O363" s="157"/>
      <c r="U363" s="258"/>
      <c r="V363" s="261"/>
    </row>
    <row r="364" spans="1:26" ht="10.8" hidden="1" thickBot="1">
      <c r="N364" s="156"/>
      <c r="O364" s="157"/>
      <c r="U364" s="258"/>
      <c r="V364" s="263"/>
    </row>
    <row r="365" spans="1:26" ht="10.8" hidden="1" thickBot="1">
      <c r="N365" s="156"/>
      <c r="O365" s="157"/>
      <c r="U365" s="258"/>
      <c r="V365" s="261"/>
    </row>
    <row r="366" spans="1:26" ht="10.8" hidden="1" thickBot="1">
      <c r="A366" s="153"/>
      <c r="N366" s="156"/>
      <c r="O366" s="157"/>
      <c r="U366" s="158"/>
    </row>
    <row r="367" spans="1:26" ht="13.8" hidden="1" thickBot="1">
      <c r="H367" s="257"/>
      <c r="N367" s="156"/>
      <c r="O367" s="157"/>
      <c r="U367" s="258"/>
    </row>
    <row r="368" spans="1:26" ht="13.8" hidden="1" thickBot="1">
      <c r="A368" s="259"/>
      <c r="H368" s="194"/>
      <c r="N368" s="156"/>
      <c r="O368" s="157"/>
      <c r="U368" s="260"/>
      <c r="V368" s="261"/>
    </row>
    <row r="369" spans="1:22" ht="14.4" hidden="1" thickBot="1">
      <c r="A369" s="259"/>
      <c r="E369" s="262"/>
      <c r="N369" s="156"/>
      <c r="O369" s="157"/>
      <c r="U369" s="260"/>
      <c r="V369" s="263"/>
    </row>
    <row r="370" spans="1:22" ht="14.4" hidden="1" thickBot="1">
      <c r="A370" s="259"/>
      <c r="E370" s="262"/>
      <c r="N370" s="156"/>
      <c r="O370" s="157"/>
      <c r="U370" s="258"/>
      <c r="V370" s="263"/>
    </row>
    <row r="371" spans="1:22" ht="14.4" hidden="1" thickBot="1">
      <c r="A371" s="264"/>
      <c r="E371" s="262"/>
      <c r="N371" s="156"/>
      <c r="O371" s="157"/>
      <c r="U371" s="260"/>
      <c r="V371" s="263"/>
    </row>
    <row r="372" spans="1:22" ht="13.8" hidden="1" thickBot="1">
      <c r="A372" s="264"/>
      <c r="L372" s="265"/>
      <c r="N372" s="156"/>
      <c r="O372" s="157"/>
      <c r="U372" s="266"/>
      <c r="V372" s="263"/>
    </row>
    <row r="373" spans="1:22" ht="10.8" hidden="1" thickBot="1">
      <c r="A373" s="153"/>
      <c r="L373" s="265"/>
      <c r="N373" s="156"/>
      <c r="O373" s="157"/>
      <c r="U373" s="266"/>
      <c r="V373" s="263"/>
    </row>
    <row r="374" spans="1:22" ht="13.8" hidden="1" thickBot="1">
      <c r="E374" s="194"/>
      <c r="N374" s="267"/>
      <c r="O374" s="157"/>
      <c r="U374" s="268"/>
    </row>
    <row r="375" spans="1:22" ht="14.4" hidden="1" thickBot="1">
      <c r="E375" s="262"/>
      <c r="L375" s="269">
        <f>O363-U363</f>
        <v>0</v>
      </c>
      <c r="N375" s="267"/>
      <c r="O375" s="157"/>
      <c r="S375" s="140">
        <f>O365-U365</f>
        <v>0</v>
      </c>
      <c r="U375" s="260"/>
    </row>
    <row r="376" spans="1:22" ht="13.8" hidden="1" thickBot="1">
      <c r="E376" s="194"/>
      <c r="N376" s="156"/>
      <c r="O376" s="157"/>
      <c r="U376" s="260"/>
    </row>
    <row r="377" spans="1:22" ht="14.4" hidden="1" thickBot="1">
      <c r="E377" s="262"/>
      <c r="N377" s="156"/>
      <c r="O377" s="157"/>
      <c r="U377" s="278"/>
    </row>
    <row r="378" spans="1:22" ht="10.8" hidden="1" thickBot="1">
      <c r="N378" s="156"/>
      <c r="O378" s="157"/>
      <c r="U378" s="260"/>
    </row>
    <row r="379" spans="1:22" ht="10.8" hidden="1" thickBot="1">
      <c r="N379" s="156"/>
      <c r="O379" s="157"/>
      <c r="U379" s="260"/>
    </row>
    <row r="380" spans="1:22" ht="10.8" hidden="1" thickBot="1">
      <c r="N380" s="156"/>
      <c r="O380" s="157"/>
      <c r="U380" s="260"/>
    </row>
    <row r="381" spans="1:22" ht="13.8" hidden="1" thickBot="1">
      <c r="A381" s="136"/>
      <c r="B381" s="136"/>
      <c r="C381" s="137"/>
      <c r="D381" s="137"/>
      <c r="E381" s="194"/>
      <c r="F381" s="136"/>
      <c r="G381" s="138"/>
      <c r="H381" s="136"/>
      <c r="I381" s="136"/>
      <c r="J381" s="136"/>
      <c r="K381" s="136"/>
      <c r="L381" s="136"/>
      <c r="M381" s="136"/>
      <c r="N381" s="136"/>
      <c r="O381" s="136"/>
      <c r="P381" s="136"/>
      <c r="S381" s="138"/>
      <c r="T381" s="138"/>
      <c r="U381" s="235"/>
    </row>
    <row r="382" spans="1:22" ht="10.8" hidden="1" thickBot="1">
      <c r="A382" s="136"/>
      <c r="B382" s="161"/>
      <c r="C382" s="137"/>
      <c r="D382" s="137"/>
      <c r="F382" s="136"/>
      <c r="G382" s="138"/>
      <c r="H382" s="136"/>
      <c r="I382" s="136"/>
      <c r="J382" s="136"/>
      <c r="K382" s="136"/>
      <c r="L382" s="136"/>
      <c r="M382" s="136"/>
      <c r="N382" s="136"/>
      <c r="O382" s="161"/>
      <c r="P382" s="136"/>
      <c r="S382" s="138"/>
      <c r="T382" s="138"/>
      <c r="U382" s="235"/>
      <c r="V382" s="213"/>
    </row>
    <row r="383" spans="1:22" ht="13.8" thickBot="1">
      <c r="A383" s="159"/>
      <c r="B383" s="524"/>
      <c r="C383" s="137"/>
      <c r="D383" s="553" t="s">
        <v>577</v>
      </c>
      <c r="E383" s="183">
        <f>617</f>
        <v>617</v>
      </c>
      <c r="F383" s="136"/>
      <c r="G383" s="138"/>
      <c r="H383" s="136"/>
      <c r="I383" s="136"/>
      <c r="J383" s="136"/>
      <c r="K383" s="194"/>
      <c r="L383" s="136"/>
      <c r="M383" s="136"/>
      <c r="N383" s="136"/>
      <c r="O383" s="161"/>
      <c r="P383" s="136"/>
      <c r="Q383" s="216"/>
      <c r="S383" s="138"/>
      <c r="T383" s="138"/>
      <c r="U383" s="136"/>
    </row>
    <row r="384" spans="1:22" ht="10.8" thickBot="1">
      <c r="A384" s="160" t="s">
        <v>465</v>
      </c>
      <c r="B384" s="218">
        <f>B379-B382-E385</f>
        <v>-1251</v>
      </c>
      <c r="C384" s="547"/>
      <c r="D384" s="184" t="s">
        <v>578</v>
      </c>
      <c r="E384" s="185">
        <f>634</f>
        <v>634</v>
      </c>
      <c r="F384" s="136"/>
      <c r="G384" s="138"/>
      <c r="H384" s="136"/>
      <c r="I384" s="136"/>
      <c r="J384" s="136"/>
      <c r="K384" s="136"/>
      <c r="L384" s="136"/>
      <c r="M384" s="136"/>
      <c r="N384" s="136"/>
      <c r="O384" s="161"/>
      <c r="P384" s="136"/>
      <c r="S384" s="138"/>
      <c r="T384" s="138"/>
      <c r="U384" s="136"/>
    </row>
    <row r="385" spans="1:26" ht="10.8" thickBot="1">
      <c r="A385" s="136" t="s">
        <v>466</v>
      </c>
      <c r="B385" s="161">
        <f>B379/12</f>
        <v>0</v>
      </c>
      <c r="C385" s="137"/>
      <c r="D385" s="566" t="s">
        <v>585</v>
      </c>
      <c r="E385" s="660">
        <f>SUM(E380:E384)</f>
        <v>1251</v>
      </c>
      <c r="F385" s="136"/>
      <c r="G385" s="138"/>
      <c r="H385" s="136"/>
      <c r="I385" s="136"/>
      <c r="J385" s="136"/>
      <c r="K385" s="136"/>
      <c r="L385" s="136"/>
      <c r="M385" s="136"/>
      <c r="N385" s="136"/>
      <c r="O385" s="161"/>
      <c r="P385" s="136"/>
      <c r="S385" s="138"/>
      <c r="T385" s="138"/>
      <c r="U385" s="136"/>
    </row>
    <row r="386" spans="1:26" ht="10.8" thickBot="1">
      <c r="A386" s="159"/>
      <c r="B386" s="217"/>
      <c r="C386" s="137"/>
      <c r="D386" s="556"/>
      <c r="E386" s="186"/>
      <c r="F386" s="136"/>
      <c r="G386" s="138"/>
      <c r="H386" s="136"/>
      <c r="I386" s="136"/>
      <c r="J386" s="136"/>
      <c r="K386" s="136"/>
      <c r="L386" s="136"/>
      <c r="M386" s="136"/>
      <c r="N386" s="136"/>
      <c r="O386" s="161"/>
      <c r="P386" s="136"/>
      <c r="S386" s="138"/>
      <c r="T386" s="138"/>
      <c r="U386" s="161"/>
    </row>
    <row r="387" spans="1:26" ht="10.8" thickBot="1">
      <c r="A387" s="332"/>
      <c r="B387" s="641"/>
      <c r="C387" s="137"/>
      <c r="D387" s="556"/>
      <c r="E387" s="186"/>
      <c r="F387" s="136"/>
      <c r="G387" s="138"/>
      <c r="H387" s="136"/>
      <c r="I387" s="136"/>
      <c r="J387" s="136"/>
      <c r="K387" s="136"/>
      <c r="L387" s="136"/>
      <c r="M387" s="136"/>
      <c r="N387" s="136"/>
      <c r="O387" s="161"/>
      <c r="P387" s="136"/>
      <c r="S387" s="138"/>
      <c r="T387" s="138"/>
      <c r="U387" s="136"/>
    </row>
    <row r="388" spans="1:26" ht="10.8" thickBot="1">
      <c r="A388" s="187"/>
      <c r="B388" s="333"/>
      <c r="C388" s="137"/>
      <c r="D388" s="191"/>
      <c r="E388" s="193"/>
      <c r="F388" s="136"/>
      <c r="G388" s="138"/>
      <c r="H388" s="136"/>
      <c r="I388" s="136"/>
      <c r="J388" s="136"/>
      <c r="K388" s="136"/>
      <c r="L388" s="136"/>
      <c r="M388" s="136"/>
      <c r="N388" s="136"/>
      <c r="O388" s="161"/>
      <c r="P388" s="136"/>
      <c r="S388" s="138"/>
      <c r="T388" s="138"/>
      <c r="U388" s="136"/>
    </row>
    <row r="389" spans="1:26" ht="10.8" thickBot="1">
      <c r="A389" s="520" t="s">
        <v>675</v>
      </c>
      <c r="B389" s="218"/>
      <c r="C389" s="137"/>
      <c r="D389" s="191"/>
      <c r="E389" s="193"/>
      <c r="F389" s="136"/>
      <c r="G389" s="138"/>
      <c r="H389" s="136"/>
      <c r="I389" s="136"/>
      <c r="J389" s="136"/>
      <c r="K389" s="136"/>
      <c r="L389" s="136"/>
      <c r="M389" s="136"/>
      <c r="N389" s="136"/>
      <c r="O389" s="161"/>
      <c r="P389" s="136"/>
      <c r="S389" s="138"/>
      <c r="T389" s="138"/>
      <c r="U389" s="136"/>
    </row>
    <row r="390" spans="1:26" s="194" customFormat="1" ht="13.2">
      <c r="A390" s="141"/>
      <c r="B390" s="161"/>
      <c r="C390" s="137"/>
      <c r="D390" s="137"/>
      <c r="E390" s="136"/>
      <c r="F390" s="136"/>
      <c r="G390" s="138"/>
      <c r="H390" s="136"/>
      <c r="I390" s="136"/>
      <c r="J390" s="136"/>
      <c r="K390" s="136"/>
      <c r="L390" s="136"/>
      <c r="M390" s="136"/>
      <c r="N390" s="136"/>
      <c r="O390" s="161"/>
      <c r="P390" s="136"/>
      <c r="Q390" s="139"/>
      <c r="R390" s="140"/>
      <c r="S390" s="138"/>
      <c r="T390" s="138"/>
      <c r="U390" s="136"/>
      <c r="V390" s="139"/>
      <c r="W390" s="139"/>
      <c r="X390" s="139"/>
      <c r="Y390" s="139"/>
      <c r="Z390" s="139"/>
    </row>
    <row r="391" spans="1:26" s="335" customFormat="1" ht="13.2">
      <c r="A391" s="136"/>
      <c r="B391" s="161"/>
      <c r="C391" s="137"/>
      <c r="D391" s="137"/>
      <c r="E391" s="139"/>
      <c r="F391" s="136"/>
      <c r="G391" s="138"/>
      <c r="H391" s="136"/>
      <c r="I391" s="136"/>
      <c r="J391" s="136"/>
      <c r="K391" s="136"/>
      <c r="L391" s="136"/>
      <c r="M391" s="136"/>
      <c r="N391" s="136"/>
      <c r="O391" s="161"/>
      <c r="P391" s="136"/>
      <c r="Q391" s="139"/>
      <c r="R391" s="140"/>
      <c r="S391" s="138"/>
      <c r="T391" s="138"/>
      <c r="U391" s="136"/>
      <c r="V391" s="139"/>
      <c r="W391" s="139"/>
      <c r="X391" s="139"/>
      <c r="Y391" s="139"/>
      <c r="Z391" s="139"/>
    </row>
    <row r="392" spans="1:26" s="335" customFormat="1" ht="13.2">
      <c r="A392" s="136" t="s">
        <v>676</v>
      </c>
      <c r="B392" s="522">
        <f>SUM(O371:O392)</f>
        <v>0</v>
      </c>
      <c r="C392" s="233" t="e">
        <f>B392/B359</f>
        <v>#DIV/0!</v>
      </c>
      <c r="D392" s="141" t="s">
        <v>574</v>
      </c>
      <c r="E392" s="194"/>
      <c r="F392" s="136"/>
      <c r="G392" s="138"/>
      <c r="H392" s="136"/>
      <c r="I392" s="136"/>
      <c r="J392" s="136"/>
      <c r="K392" s="136"/>
      <c r="L392" s="136"/>
      <c r="M392" s="136"/>
      <c r="N392" s="136"/>
      <c r="O392" s="161"/>
      <c r="P392" s="136"/>
      <c r="Q392" s="139"/>
      <c r="R392" s="140"/>
      <c r="S392" s="138"/>
      <c r="T392" s="138"/>
      <c r="U392" s="136"/>
      <c r="V392" s="139"/>
      <c r="W392" s="139"/>
      <c r="X392" s="139"/>
      <c r="Y392" s="139"/>
      <c r="Z392" s="139"/>
    </row>
    <row r="393" spans="1:26" s="335" customFormat="1" ht="13.2">
      <c r="A393" s="136" t="s">
        <v>463</v>
      </c>
      <c r="B393" s="527">
        <f>SUM(R360:R392)</f>
        <v>0</v>
      </c>
      <c r="C393" s="544" t="e">
        <f>B392/B393</f>
        <v>#DIV/0!</v>
      </c>
      <c r="D393" s="512" t="s">
        <v>575</v>
      </c>
      <c r="E393" s="139"/>
      <c r="F393" s="136"/>
      <c r="G393" s="138"/>
      <c r="H393" s="136"/>
      <c r="I393" s="136"/>
      <c r="J393" s="136"/>
      <c r="K393" s="136"/>
      <c r="L393" s="136"/>
      <c r="M393" s="136"/>
      <c r="N393" s="136"/>
      <c r="O393" s="161" t="s">
        <v>771</v>
      </c>
      <c r="P393" s="136"/>
      <c r="Q393" s="139"/>
      <c r="R393" s="140"/>
      <c r="S393" s="138"/>
      <c r="T393" s="138"/>
      <c r="U393" s="136"/>
      <c r="V393" s="139"/>
      <c r="W393" s="139"/>
      <c r="X393" s="139"/>
      <c r="Y393" s="139"/>
      <c r="Z393" s="139"/>
    </row>
    <row r="394" spans="1:26" s="335" customFormat="1" ht="13.2">
      <c r="A394" s="136"/>
      <c r="B394" s="136"/>
      <c r="C394" s="137"/>
      <c r="D394" s="512" t="s">
        <v>576</v>
      </c>
      <c r="E394" s="139"/>
      <c r="F394" s="136"/>
      <c r="G394" s="138"/>
      <c r="H394" s="136"/>
      <c r="I394" s="136"/>
      <c r="J394" s="136"/>
      <c r="K394" s="136"/>
      <c r="L394" s="136"/>
      <c r="M394" s="136"/>
      <c r="N394" s="136"/>
      <c r="O394" s="161"/>
      <c r="P394" s="136"/>
      <c r="Q394" s="139"/>
      <c r="R394" s="140"/>
      <c r="S394" s="138"/>
      <c r="T394" s="138"/>
      <c r="U394" s="136"/>
      <c r="V394" s="139"/>
      <c r="W394" s="139"/>
      <c r="X394" s="139"/>
      <c r="Y394" s="139"/>
      <c r="Z394" s="139"/>
    </row>
    <row r="395" spans="1:26" s="335" customFormat="1" ht="13.2">
      <c r="A395" s="136" t="s">
        <v>464</v>
      </c>
      <c r="B395" s="533">
        <f>1577.94*12</f>
        <v>18935.28</v>
      </c>
      <c r="C395" s="137"/>
      <c r="D395" s="512" t="s">
        <v>677</v>
      </c>
      <c r="E395" s="139"/>
      <c r="F395" s="136"/>
      <c r="G395" s="138"/>
      <c r="H395" s="136"/>
      <c r="I395" s="136"/>
      <c r="J395" s="136"/>
      <c r="K395" s="136"/>
      <c r="L395" s="136"/>
      <c r="M395" s="136"/>
      <c r="N395" s="136"/>
      <c r="O395" s="161"/>
      <c r="P395" s="136"/>
      <c r="Q395" s="139"/>
      <c r="R395" s="140"/>
      <c r="S395" s="138"/>
      <c r="T395" s="138"/>
      <c r="U395" s="136"/>
      <c r="V395" s="139"/>
      <c r="W395" s="139"/>
      <c r="X395" s="139"/>
      <c r="Y395" s="139"/>
      <c r="Z395" s="139"/>
    </row>
    <row r="396" spans="1:26" s="291" customFormat="1">
      <c r="A396" s="136"/>
      <c r="B396" s="136"/>
      <c r="C396" s="137"/>
      <c r="D396" s="512" t="s">
        <v>577</v>
      </c>
      <c r="E396" s="139"/>
      <c r="F396" s="136"/>
      <c r="G396" s="138"/>
      <c r="H396" s="136"/>
      <c r="I396" s="136"/>
      <c r="J396" s="136"/>
      <c r="K396" s="136">
        <f>290.5*4-70-42</f>
        <v>1050</v>
      </c>
      <c r="L396" s="136"/>
      <c r="M396" s="136"/>
      <c r="N396" s="136"/>
      <c r="O396" s="161">
        <f>1190+1290</f>
        <v>2480</v>
      </c>
      <c r="P396" s="136"/>
      <c r="Q396" s="139"/>
      <c r="R396" s="140"/>
      <c r="S396" s="138"/>
      <c r="T396" s="138"/>
      <c r="U396" s="186"/>
      <c r="V396" s="139"/>
      <c r="W396" s="139"/>
      <c r="X396" s="139"/>
      <c r="Y396" s="139"/>
      <c r="Z396" s="139"/>
    </row>
    <row r="397" spans="1:26" s="291" customFormat="1">
      <c r="A397" s="136" t="s">
        <v>465</v>
      </c>
      <c r="B397" s="161">
        <f>B392-B395-E398</f>
        <v>-18935.28</v>
      </c>
      <c r="C397" s="137"/>
      <c r="D397" s="512" t="s">
        <v>578</v>
      </c>
      <c r="E397" s="139"/>
      <c r="F397" s="136"/>
      <c r="G397" s="138"/>
      <c r="H397" s="136"/>
      <c r="I397" s="136"/>
      <c r="J397" s="136"/>
      <c r="K397" s="136"/>
      <c r="L397" s="161"/>
      <c r="M397" s="136"/>
      <c r="N397" s="136"/>
      <c r="O397" s="161"/>
      <c r="P397" s="136"/>
      <c r="Q397" s="139"/>
      <c r="R397" s="140"/>
      <c r="S397" s="138"/>
      <c r="T397" s="138"/>
      <c r="U397" s="186"/>
      <c r="V397" s="139"/>
      <c r="W397" s="139"/>
      <c r="X397" s="139"/>
      <c r="Y397" s="139"/>
      <c r="Z397" s="139"/>
    </row>
    <row r="398" spans="1:26" s="291" customFormat="1">
      <c r="A398" s="136" t="s">
        <v>466</v>
      </c>
      <c r="B398" s="161">
        <f>B392/12</f>
        <v>0</v>
      </c>
      <c r="C398" s="137"/>
      <c r="D398" s="235" t="s">
        <v>585</v>
      </c>
      <c r="E398" s="533">
        <f>SUM(E393:E397)</f>
        <v>0</v>
      </c>
      <c r="F398" s="136"/>
      <c r="G398" s="138"/>
      <c r="H398" s="136"/>
      <c r="I398" s="136"/>
      <c r="J398" s="136"/>
      <c r="K398" s="136"/>
      <c r="L398" s="136"/>
      <c r="M398" s="136"/>
      <c r="N398" s="136"/>
      <c r="O398" s="161"/>
      <c r="P398" s="136"/>
      <c r="Q398" s="139"/>
      <c r="R398" s="140"/>
      <c r="S398" s="138"/>
      <c r="T398" s="138">
        <f>O382-U382</f>
        <v>0</v>
      </c>
      <c r="U398" s="186"/>
      <c r="V398" s="139"/>
      <c r="W398" s="139"/>
      <c r="X398" s="139"/>
      <c r="Y398" s="139"/>
      <c r="Z398" s="139"/>
    </row>
    <row r="399" spans="1:26" s="302" customFormat="1">
      <c r="A399" s="136"/>
      <c r="B399" s="161"/>
      <c r="C399" s="137"/>
      <c r="D399" s="137"/>
      <c r="E399" s="136"/>
      <c r="F399" s="136"/>
      <c r="G399" s="138"/>
      <c r="H399" s="136"/>
      <c r="I399" s="136"/>
      <c r="J399" s="136"/>
      <c r="K399" s="136"/>
      <c r="L399" s="136"/>
      <c r="M399" s="136"/>
      <c r="N399" s="136"/>
      <c r="O399" s="161"/>
      <c r="P399" s="136"/>
      <c r="Q399" s="139"/>
      <c r="R399" s="140"/>
      <c r="S399" s="138"/>
      <c r="T399" s="138"/>
      <c r="U399" s="186"/>
      <c r="V399" s="139"/>
      <c r="W399" s="139"/>
      <c r="X399" s="139"/>
      <c r="Y399" s="139"/>
      <c r="Z399" s="139"/>
    </row>
    <row r="400" spans="1:26" s="291" customFormat="1">
      <c r="A400" s="136"/>
      <c r="B400" s="161"/>
      <c r="C400" s="137"/>
      <c r="D400" s="137"/>
      <c r="E400" s="136"/>
      <c r="F400" s="136"/>
      <c r="G400" s="138"/>
      <c r="H400" s="136"/>
      <c r="I400" s="136"/>
      <c r="J400" s="136"/>
      <c r="K400" s="136"/>
      <c r="L400" s="136"/>
      <c r="M400" s="136"/>
      <c r="N400" s="136"/>
      <c r="O400" s="161"/>
      <c r="P400" s="136"/>
      <c r="Q400" s="139"/>
      <c r="R400" s="140"/>
      <c r="S400" s="138"/>
      <c r="T400" s="138"/>
      <c r="U400" s="186"/>
      <c r="V400" s="139"/>
      <c r="W400" s="139"/>
      <c r="X400" s="139"/>
      <c r="Y400" s="139"/>
      <c r="Z400" s="139"/>
    </row>
    <row r="401" spans="1:26" s="291" customFormat="1">
      <c r="A401" s="136"/>
      <c r="B401" s="161"/>
      <c r="C401" s="137"/>
      <c r="D401" s="137"/>
      <c r="E401" s="136"/>
      <c r="F401" s="136"/>
      <c r="G401" s="138"/>
      <c r="H401" s="136"/>
      <c r="I401" s="136"/>
      <c r="J401" s="136"/>
      <c r="K401" s="136"/>
      <c r="L401" s="136"/>
      <c r="M401" s="136"/>
      <c r="N401" s="136"/>
      <c r="O401" s="161"/>
      <c r="P401" s="136"/>
      <c r="Q401" s="139"/>
      <c r="R401" s="140"/>
      <c r="S401" s="138"/>
      <c r="T401" s="138"/>
      <c r="U401" s="186"/>
      <c r="V401" s="139"/>
      <c r="W401" s="139"/>
      <c r="X401" s="139"/>
      <c r="Y401" s="139"/>
      <c r="Z401" s="139"/>
    </row>
    <row r="402" spans="1:26" s="291" customFormat="1">
      <c r="A402" s="619" t="s">
        <v>826</v>
      </c>
      <c r="B402" s="161"/>
      <c r="C402" s="137"/>
      <c r="D402" s="137"/>
      <c r="E402" s="136"/>
      <c r="F402" s="136"/>
      <c r="G402" s="138"/>
      <c r="H402" s="136"/>
      <c r="I402" s="136"/>
      <c r="J402" s="136"/>
      <c r="K402" s="136"/>
      <c r="L402" s="136"/>
      <c r="M402" s="136"/>
      <c r="N402" s="136"/>
      <c r="O402" s="161"/>
      <c r="P402" s="136"/>
      <c r="Q402" s="139"/>
      <c r="R402" s="140"/>
      <c r="S402" s="138"/>
      <c r="T402" s="138"/>
      <c r="U402" s="587"/>
      <c r="V402" s="139"/>
      <c r="W402" s="139"/>
      <c r="X402" s="139"/>
      <c r="Y402" s="139"/>
      <c r="Z402" s="139"/>
    </row>
    <row r="403" spans="1:26" s="291" customFormat="1" ht="13.2">
      <c r="A403" s="139"/>
      <c r="B403" s="136"/>
      <c r="C403" s="137"/>
      <c r="D403" s="137"/>
      <c r="E403" s="194"/>
      <c r="F403" s="136"/>
      <c r="G403" s="138"/>
      <c r="H403" s="136"/>
      <c r="I403" s="136"/>
      <c r="J403" s="136"/>
      <c r="K403" s="136"/>
      <c r="L403" s="136"/>
      <c r="M403" s="136"/>
      <c r="N403" s="161"/>
      <c r="O403" s="136"/>
      <c r="P403" s="136"/>
      <c r="Q403" s="139"/>
      <c r="R403" s="140"/>
      <c r="S403" s="138"/>
      <c r="T403" s="138"/>
      <c r="U403" s="587"/>
      <c r="V403" s="139"/>
      <c r="W403" s="139"/>
      <c r="X403" s="139"/>
      <c r="Y403" s="139"/>
      <c r="Z403" s="139"/>
    </row>
    <row r="404" spans="1:26" s="291" customFormat="1">
      <c r="A404" s="136"/>
      <c r="B404" s="161"/>
      <c r="C404" s="137"/>
      <c r="D404" s="137"/>
      <c r="E404" s="139"/>
      <c r="F404" s="136"/>
      <c r="G404" s="138"/>
      <c r="H404" s="136"/>
      <c r="I404" s="136"/>
      <c r="J404" s="136"/>
      <c r="K404" s="136"/>
      <c r="L404" s="136"/>
      <c r="M404" s="136"/>
      <c r="N404" s="136"/>
      <c r="O404" s="161"/>
      <c r="P404" s="136"/>
      <c r="Q404" s="139"/>
      <c r="R404" s="140"/>
      <c r="S404" s="138"/>
      <c r="T404" s="138"/>
      <c r="U404" s="587"/>
      <c r="V404" s="213"/>
      <c r="W404" s="139"/>
      <c r="X404" s="139"/>
      <c r="Y404" s="139"/>
      <c r="Z404" s="139"/>
    </row>
    <row r="405" spans="1:26" s="291" customFormat="1" ht="13.2">
      <c r="A405" s="136" t="s">
        <v>861</v>
      </c>
      <c r="B405" s="522">
        <f>SUM(O383:O405)</f>
        <v>2480</v>
      </c>
      <c r="C405" s="233" t="e">
        <f>B405/B373</f>
        <v>#DIV/0!</v>
      </c>
      <c r="D405" s="141" t="s">
        <v>574</v>
      </c>
      <c r="E405" s="194"/>
      <c r="F405" s="136"/>
      <c r="G405" s="138"/>
      <c r="H405" s="136"/>
      <c r="I405" s="136"/>
      <c r="J405" s="136"/>
      <c r="K405" s="136"/>
      <c r="L405" s="136"/>
      <c r="M405" s="136"/>
      <c r="N405" s="136"/>
      <c r="O405" s="161"/>
      <c r="P405" s="136"/>
      <c r="Q405" s="139"/>
      <c r="R405" s="140"/>
      <c r="S405" s="138"/>
      <c r="T405" s="138"/>
      <c r="U405" s="587"/>
      <c r="V405" s="139"/>
      <c r="W405" s="139"/>
      <c r="X405" s="139"/>
      <c r="Y405" s="139"/>
      <c r="Z405" s="139"/>
    </row>
    <row r="406" spans="1:26" s="291" customFormat="1">
      <c r="A406" s="136" t="s">
        <v>463</v>
      </c>
      <c r="B406" s="527">
        <f>SUM(R372:R405)</f>
        <v>0</v>
      </c>
      <c r="C406" s="544" t="e">
        <f>B405/B406</f>
        <v>#DIV/0!</v>
      </c>
      <c r="D406" s="512" t="s">
        <v>575</v>
      </c>
      <c r="E406" s="139"/>
      <c r="F406" s="136"/>
      <c r="G406" s="138"/>
      <c r="H406" s="136"/>
      <c r="I406" s="136"/>
      <c r="J406" s="136"/>
      <c r="K406" s="136"/>
      <c r="L406" s="136"/>
      <c r="M406" s="136"/>
      <c r="N406" s="136"/>
      <c r="O406" s="161" t="s">
        <v>771</v>
      </c>
      <c r="P406" s="136"/>
      <c r="Q406" s="139"/>
      <c r="R406" s="140"/>
      <c r="S406" s="138"/>
      <c r="T406" s="138"/>
      <c r="U406" s="593">
        <f>O396-U396+O397-U397+70+5*3*14</f>
        <v>2760</v>
      </c>
      <c r="V406" s="139"/>
      <c r="W406" s="139"/>
      <c r="X406" s="139"/>
      <c r="Y406" s="139"/>
      <c r="Z406" s="139"/>
    </row>
    <row r="407" spans="1:26" s="291" customFormat="1">
      <c r="A407" s="136"/>
      <c r="B407" s="136"/>
      <c r="C407" s="137"/>
      <c r="D407" s="512" t="s">
        <v>576</v>
      </c>
      <c r="E407" s="139"/>
      <c r="F407" s="136"/>
      <c r="G407" s="138"/>
      <c r="H407" s="136"/>
      <c r="I407" s="136"/>
      <c r="J407" s="136"/>
      <c r="K407" s="136"/>
      <c r="L407" s="136"/>
      <c r="M407" s="136"/>
      <c r="N407" s="136"/>
      <c r="O407" s="161"/>
      <c r="P407" s="136"/>
      <c r="Q407" s="139"/>
      <c r="R407" s="140"/>
      <c r="S407" s="138">
        <f>O397-U397</f>
        <v>0</v>
      </c>
      <c r="T407" s="138"/>
      <c r="U407" s="668">
        <f>O398-U398+O399-U399+O400-U400</f>
        <v>0</v>
      </c>
      <c r="V407" s="139"/>
      <c r="W407" s="139"/>
      <c r="X407" s="139"/>
      <c r="Y407" s="139"/>
      <c r="Z407" s="139"/>
    </row>
    <row r="408" spans="1:26" s="291" customFormat="1">
      <c r="A408" s="136" t="s">
        <v>464</v>
      </c>
      <c r="B408" s="533">
        <f>1577.94*12</f>
        <v>18935.28</v>
      </c>
      <c r="C408" s="137"/>
      <c r="D408" s="512" t="s">
        <v>677</v>
      </c>
      <c r="E408" s="139"/>
      <c r="F408" s="136"/>
      <c r="G408" s="138"/>
      <c r="H408" s="136"/>
      <c r="I408" s="136"/>
      <c r="J408" s="136"/>
      <c r="K408" s="136"/>
      <c r="L408" s="136"/>
      <c r="M408" s="136"/>
      <c r="N408" s="136"/>
      <c r="O408" s="161"/>
      <c r="P408" s="136"/>
      <c r="Q408" s="139"/>
      <c r="R408" s="140"/>
      <c r="S408" s="138"/>
      <c r="T408" s="138"/>
      <c r="U408" s="668">
        <f>U406+U407</f>
        <v>2760</v>
      </c>
      <c r="V408" s="139"/>
      <c r="W408" s="139"/>
      <c r="X408" s="139"/>
      <c r="Y408" s="139"/>
      <c r="Z408" s="139"/>
    </row>
    <row r="409" spans="1:26" s="291" customFormat="1">
      <c r="A409" s="136"/>
      <c r="B409" s="136"/>
      <c r="C409" s="137"/>
      <c r="D409" s="512" t="s">
        <v>577</v>
      </c>
      <c r="E409" s="139"/>
      <c r="F409" s="136"/>
      <c r="G409" s="138"/>
      <c r="H409" s="136" t="s">
        <v>1026</v>
      </c>
      <c r="I409" s="136"/>
      <c r="J409" s="136"/>
      <c r="K409" s="136"/>
      <c r="L409" s="136"/>
      <c r="M409" s="136"/>
      <c r="N409" s="136"/>
      <c r="O409" s="161">
        <f>1190+1290</f>
        <v>2480</v>
      </c>
      <c r="P409" s="136"/>
      <c r="Q409" s="139"/>
      <c r="R409" s="140"/>
      <c r="S409" s="138"/>
      <c r="T409" s="138"/>
      <c r="U409" s="186"/>
      <c r="V409" s="139"/>
      <c r="W409" s="139"/>
      <c r="X409" s="139"/>
      <c r="Y409" s="139"/>
      <c r="Z409" s="139"/>
    </row>
    <row r="410" spans="1:26" s="291" customFormat="1">
      <c r="A410" s="136" t="s">
        <v>465</v>
      </c>
      <c r="B410" s="161">
        <f>B405-B408-E411</f>
        <v>-16455.28</v>
      </c>
      <c r="C410" s="137"/>
      <c r="D410" s="512" t="s">
        <v>578</v>
      </c>
      <c r="E410" s="139"/>
      <c r="F410" s="136"/>
      <c r="G410" s="138"/>
      <c r="H410" s="136"/>
      <c r="I410" s="136"/>
      <c r="J410" s="136"/>
      <c r="K410" s="136"/>
      <c r="L410" s="161"/>
      <c r="M410" s="136"/>
      <c r="N410" s="136"/>
      <c r="O410" s="161"/>
      <c r="P410" s="136"/>
      <c r="Q410" s="139"/>
      <c r="R410" s="140"/>
      <c r="S410" s="138"/>
      <c r="T410" s="138"/>
      <c r="U410" s="186"/>
      <c r="V410" s="139"/>
      <c r="W410" s="139"/>
      <c r="X410" s="139"/>
      <c r="Y410" s="139"/>
      <c r="Z410" s="139"/>
    </row>
    <row r="411" spans="1:26" s="291" customFormat="1">
      <c r="A411" s="136" t="s">
        <v>1045</v>
      </c>
      <c r="B411" s="161">
        <f>B405/12</f>
        <v>206.66666666666666</v>
      </c>
      <c r="C411" s="137"/>
      <c r="D411" s="235" t="s">
        <v>585</v>
      </c>
      <c r="E411" s="533">
        <f>SUM(E406:E410)</f>
        <v>0</v>
      </c>
      <c r="F411" s="136"/>
      <c r="G411" s="138"/>
      <c r="H411" s="136"/>
      <c r="I411" s="136"/>
      <c r="J411" s="136"/>
      <c r="K411" s="136"/>
      <c r="L411" s="136"/>
      <c r="M411" s="136"/>
      <c r="N411" s="136"/>
      <c r="O411" s="161"/>
      <c r="P411" s="136"/>
      <c r="Q411" s="139"/>
      <c r="R411" s="140"/>
      <c r="S411" s="138"/>
      <c r="T411" s="138"/>
      <c r="U411" s="186"/>
      <c r="V411" s="139"/>
      <c r="W411" s="139"/>
      <c r="X411" s="139"/>
      <c r="Y411" s="139"/>
      <c r="Z411" s="139"/>
    </row>
    <row r="412" spans="1:26" s="310" customFormat="1">
      <c r="A412" s="136"/>
      <c r="B412" s="139"/>
      <c r="C412" s="137"/>
      <c r="D412" s="235"/>
      <c r="E412" s="136"/>
      <c r="F412" s="136"/>
      <c r="G412" s="138"/>
      <c r="H412" s="136"/>
      <c r="I412" s="136"/>
      <c r="J412" s="136"/>
      <c r="K412" s="136"/>
      <c r="L412" s="136"/>
      <c r="M412" s="136"/>
      <c r="N412" s="136"/>
      <c r="O412" s="161"/>
      <c r="P412" s="136"/>
      <c r="Q412" s="139"/>
      <c r="R412" s="140"/>
      <c r="S412" s="138"/>
      <c r="T412" s="138"/>
      <c r="U412" s="186"/>
      <c r="V412" s="139"/>
      <c r="W412" s="139"/>
      <c r="X412" s="139"/>
      <c r="Y412" s="139"/>
      <c r="Z412" s="139"/>
    </row>
    <row r="413" spans="1:26" s="310" customFormat="1">
      <c r="A413" s="136"/>
      <c r="B413" s="139"/>
      <c r="C413" s="137"/>
      <c r="D413" s="235"/>
      <c r="E413" s="136"/>
      <c r="F413" s="136"/>
      <c r="G413" s="138"/>
      <c r="H413" s="136"/>
      <c r="I413" s="136"/>
      <c r="J413" s="136"/>
      <c r="K413" s="136"/>
      <c r="L413" s="136"/>
      <c r="M413" s="136"/>
      <c r="N413" s="136"/>
      <c r="O413" s="161"/>
      <c r="P413" s="136"/>
      <c r="Q413" s="139"/>
      <c r="R413" s="140"/>
      <c r="S413" s="138"/>
      <c r="T413" s="138"/>
      <c r="U413" s="186"/>
      <c r="V413" s="139"/>
      <c r="W413" s="139"/>
      <c r="X413" s="139"/>
      <c r="Y413" s="139"/>
      <c r="Z413" s="139"/>
    </row>
    <row r="414" spans="1:26" s="291" customFormat="1">
      <c r="A414" s="141" t="s">
        <v>952</v>
      </c>
      <c r="B414" s="161"/>
      <c r="C414" s="137"/>
      <c r="D414" s="137"/>
      <c r="E414" s="136"/>
      <c r="F414" s="136"/>
      <c r="G414" s="138"/>
      <c r="H414" s="136"/>
      <c r="I414" s="136"/>
      <c r="J414" s="136"/>
      <c r="K414" s="136"/>
      <c r="L414" s="136"/>
      <c r="M414" s="136"/>
      <c r="N414" s="136"/>
      <c r="O414" s="161"/>
      <c r="P414" s="136"/>
      <c r="Q414" s="139"/>
      <c r="R414" s="140"/>
      <c r="S414" s="138"/>
      <c r="T414" s="138"/>
      <c r="U414" s="587"/>
      <c r="V414" s="139"/>
      <c r="W414" s="139"/>
      <c r="X414" s="139"/>
      <c r="Y414" s="139"/>
      <c r="Z414" s="139"/>
    </row>
    <row r="415" spans="1:26" s="291" customFormat="1">
      <c r="A415" s="143" t="s">
        <v>1046</v>
      </c>
      <c r="B415" s="143" t="s">
        <v>1047</v>
      </c>
      <c r="C415" s="144">
        <v>41356</v>
      </c>
      <c r="D415" s="144">
        <v>41370</v>
      </c>
      <c r="E415" s="143"/>
      <c r="F415" s="143"/>
      <c r="G415" s="145"/>
      <c r="H415" s="143"/>
      <c r="I415" s="143"/>
      <c r="J415" s="143" t="s">
        <v>51</v>
      </c>
      <c r="K415" s="143" t="s">
        <v>1048</v>
      </c>
      <c r="L415" s="173" t="s">
        <v>1049</v>
      </c>
      <c r="M415" s="143"/>
      <c r="N415" s="147" t="s">
        <v>1050</v>
      </c>
      <c r="O415" s="148">
        <f>2*690+3*2*14</f>
        <v>1464</v>
      </c>
      <c r="P415" s="143"/>
      <c r="Q415" s="143" t="s">
        <v>1051</v>
      </c>
      <c r="R415" s="145">
        <v>2</v>
      </c>
      <c r="S415" s="145">
        <v>3</v>
      </c>
      <c r="T415" s="145">
        <v>2</v>
      </c>
      <c r="U415" s="244">
        <v>345</v>
      </c>
      <c r="V415" s="238">
        <v>41280</v>
      </c>
      <c r="W415" s="143" t="s">
        <v>1052</v>
      </c>
      <c r="X415" s="143"/>
      <c r="Y415" s="143"/>
      <c r="Z415" s="143"/>
    </row>
    <row r="416" spans="1:26" s="291" customFormat="1">
      <c r="A416" s="136"/>
      <c r="B416" s="161"/>
      <c r="C416" s="137"/>
      <c r="D416" s="137"/>
      <c r="E416" s="139"/>
      <c r="F416" s="136"/>
      <c r="G416" s="138"/>
      <c r="H416" s="136"/>
      <c r="I416" s="136"/>
      <c r="J416" s="136"/>
      <c r="K416" s="136"/>
      <c r="L416" s="136"/>
      <c r="M416" s="136"/>
      <c r="N416" s="136"/>
      <c r="O416" s="161"/>
      <c r="P416" s="136"/>
      <c r="Q416" s="139"/>
      <c r="R416" s="140"/>
      <c r="S416" s="138"/>
      <c r="T416" s="138"/>
      <c r="U416" s="587"/>
      <c r="V416" s="213"/>
      <c r="W416" s="139"/>
      <c r="X416" s="139"/>
      <c r="Y416" s="139"/>
      <c r="Z416" s="139"/>
    </row>
    <row r="417" spans="1:26" s="291" customFormat="1" ht="13.2">
      <c r="A417" s="136" t="s">
        <v>1143</v>
      </c>
      <c r="B417" s="522">
        <f>SUM(O383:O417)</f>
        <v>6424</v>
      </c>
      <c r="C417" s="233" t="e">
        <f>B417/B374</f>
        <v>#DIV/0!</v>
      </c>
      <c r="D417" s="141" t="s">
        <v>574</v>
      </c>
      <c r="E417" s="194"/>
      <c r="F417" s="136"/>
      <c r="G417" s="138"/>
      <c r="H417" s="136"/>
      <c r="I417" s="136"/>
      <c r="J417" s="136"/>
      <c r="K417" s="136"/>
      <c r="L417" s="136"/>
      <c r="M417" s="136"/>
      <c r="N417" s="161"/>
      <c r="O417" s="161"/>
      <c r="P417" s="136"/>
      <c r="Q417" s="139"/>
      <c r="R417" s="140"/>
      <c r="S417" s="138"/>
      <c r="T417" s="138"/>
      <c r="U417" s="587"/>
      <c r="V417" s="139"/>
      <c r="W417" s="139"/>
      <c r="X417" s="139"/>
      <c r="Y417" s="139"/>
      <c r="Z417" s="139"/>
    </row>
    <row r="418" spans="1:26" s="291" customFormat="1">
      <c r="A418" s="136" t="s">
        <v>463</v>
      </c>
      <c r="B418" s="527">
        <f>SUM(R372:R417)</f>
        <v>2</v>
      </c>
      <c r="C418" s="544">
        <f>B417/B418</f>
        <v>3212</v>
      </c>
      <c r="D418" s="512" t="s">
        <v>575</v>
      </c>
      <c r="E418" s="139"/>
      <c r="F418" s="136"/>
      <c r="G418" s="138"/>
      <c r="H418" s="136"/>
      <c r="I418" s="136"/>
      <c r="J418" s="136"/>
      <c r="K418" s="136"/>
      <c r="L418" s="136"/>
      <c r="M418" s="136"/>
      <c r="N418" s="136"/>
      <c r="O418" s="161"/>
      <c r="P418" s="136"/>
      <c r="Q418" s="139"/>
      <c r="R418" s="140"/>
      <c r="S418" s="138"/>
      <c r="T418" s="138"/>
      <c r="U418" s="587"/>
      <c r="V418" s="139"/>
      <c r="W418" s="139"/>
      <c r="X418" s="139"/>
      <c r="Y418" s="139"/>
      <c r="Z418" s="139"/>
    </row>
    <row r="419" spans="1:26" s="291" customFormat="1">
      <c r="A419" s="136"/>
      <c r="B419" s="136"/>
      <c r="C419" s="137"/>
      <c r="D419" s="512" t="s">
        <v>576</v>
      </c>
      <c r="E419" s="139"/>
      <c r="F419" s="136"/>
      <c r="G419" s="138"/>
      <c r="H419" s="136"/>
      <c r="I419" s="136"/>
      <c r="J419" s="136"/>
      <c r="K419" s="136"/>
      <c r="L419" s="136"/>
      <c r="M419" s="136"/>
      <c r="N419" s="136"/>
      <c r="O419" s="161"/>
      <c r="P419" s="136"/>
      <c r="Q419" s="139"/>
      <c r="R419" s="140"/>
      <c r="S419" s="138"/>
      <c r="T419" s="138"/>
      <c r="U419" s="186"/>
      <c r="V419" s="139"/>
      <c r="W419" s="139"/>
      <c r="X419" s="139"/>
      <c r="Y419" s="139"/>
      <c r="Z419" s="139"/>
    </row>
    <row r="420" spans="1:26">
      <c r="A420" s="136" t="s">
        <v>464</v>
      </c>
      <c r="B420" s="533">
        <f>(1577.94*12)-1040.38-(1040.38-394.46)</f>
        <v>17248.979999999996</v>
      </c>
      <c r="C420" s="137"/>
      <c r="D420" s="512" t="s">
        <v>677</v>
      </c>
      <c r="F420" s="136"/>
      <c r="G420" s="138"/>
      <c r="H420" s="136"/>
      <c r="I420" s="136"/>
      <c r="J420" s="136"/>
      <c r="K420" s="136"/>
      <c r="L420" s="136"/>
      <c r="M420" s="136"/>
      <c r="N420" s="136"/>
      <c r="O420" s="161"/>
      <c r="P420" s="136"/>
      <c r="S420" s="138"/>
      <c r="T420" s="138"/>
      <c r="U420" s="136"/>
    </row>
    <row r="421" spans="1:26">
      <c r="A421" s="136"/>
      <c r="B421" s="136"/>
      <c r="C421" s="137"/>
      <c r="D421" s="512" t="s">
        <v>577</v>
      </c>
      <c r="F421" s="136"/>
      <c r="G421" s="138"/>
      <c r="H421" s="136"/>
      <c r="I421" s="136"/>
      <c r="J421" s="136"/>
      <c r="K421" s="136"/>
      <c r="L421" s="136"/>
      <c r="M421" s="136"/>
      <c r="N421" s="136"/>
      <c r="O421" s="161"/>
      <c r="P421" s="136"/>
      <c r="S421" s="138"/>
      <c r="T421" s="138"/>
      <c r="U421" s="136"/>
    </row>
    <row r="422" spans="1:26">
      <c r="A422" s="136" t="s">
        <v>465</v>
      </c>
      <c r="B422" s="161">
        <f>B417-B420-E423</f>
        <v>-10824.979999999996</v>
      </c>
      <c r="C422" s="137"/>
      <c r="D422" s="512" t="s">
        <v>578</v>
      </c>
      <c r="F422" s="136"/>
      <c r="G422" s="138"/>
      <c r="H422" s="136"/>
      <c r="I422" s="136"/>
      <c r="J422" s="136"/>
      <c r="K422" s="136"/>
      <c r="L422" s="161"/>
      <c r="M422" s="136"/>
      <c r="N422" s="136"/>
      <c r="O422" s="161"/>
      <c r="P422" s="136"/>
      <c r="S422" s="138"/>
      <c r="T422" s="138"/>
      <c r="U422" s="136"/>
    </row>
    <row r="423" spans="1:26">
      <c r="A423" s="136" t="s">
        <v>466</v>
      </c>
      <c r="B423" s="161">
        <f>B417/12</f>
        <v>535.33333333333337</v>
      </c>
      <c r="C423" s="137"/>
      <c r="D423" s="235" t="s">
        <v>585</v>
      </c>
      <c r="E423" s="533">
        <f>SUM(E418:E422)</f>
        <v>0</v>
      </c>
      <c r="F423" s="136"/>
      <c r="G423" s="138"/>
      <c r="H423" s="136"/>
      <c r="I423" s="136"/>
      <c r="J423" s="136"/>
      <c r="K423" s="136"/>
      <c r="L423" s="136"/>
      <c r="M423" s="136"/>
      <c r="N423" s="136"/>
      <c r="O423" s="161"/>
      <c r="P423" s="136"/>
      <c r="S423" s="138"/>
      <c r="T423" s="138"/>
      <c r="U423" s="136"/>
    </row>
    <row r="424" spans="1:26" s="194" customFormat="1" ht="13.8" thickBot="1">
      <c r="A424" s="136"/>
      <c r="B424" s="139"/>
      <c r="C424" s="137"/>
      <c r="D424" s="235"/>
      <c r="E424" s="136"/>
      <c r="F424" s="136"/>
      <c r="G424" s="138"/>
      <c r="H424" s="136"/>
      <c r="I424" s="136"/>
      <c r="J424" s="136"/>
      <c r="K424" s="136"/>
      <c r="L424" s="136"/>
      <c r="M424" s="136"/>
      <c r="N424" s="136"/>
      <c r="O424" s="161"/>
      <c r="P424" s="136"/>
      <c r="Q424" s="139"/>
      <c r="R424" s="140"/>
      <c r="S424" s="138"/>
      <c r="T424" s="138"/>
      <c r="U424" s="136"/>
      <c r="V424" s="139"/>
      <c r="W424" s="139"/>
      <c r="X424" s="139"/>
      <c r="Y424" s="139"/>
      <c r="Z424" s="139"/>
    </row>
    <row r="425" spans="1:26" ht="10.8" thickBot="1">
      <c r="A425" s="159"/>
      <c r="B425" s="183"/>
      <c r="C425" s="137"/>
      <c r="D425" s="649"/>
      <c r="E425" s="524"/>
      <c r="F425" s="136"/>
      <c r="G425" s="138"/>
      <c r="H425" s="136"/>
      <c r="I425" s="136"/>
      <c r="J425" s="136"/>
      <c r="K425" s="136"/>
      <c r="L425" s="136"/>
      <c r="M425" s="136"/>
      <c r="N425" s="136"/>
      <c r="O425" s="161"/>
      <c r="P425" s="136"/>
      <c r="S425" s="138"/>
      <c r="T425" s="138"/>
      <c r="U425" s="136"/>
    </row>
    <row r="426" spans="1:26" ht="10.8" thickBot="1">
      <c r="A426" s="160"/>
      <c r="B426" s="190"/>
      <c r="C426" s="547"/>
      <c r="D426" s="566"/>
      <c r="E426" s="186"/>
      <c r="F426" s="136"/>
      <c r="G426" s="138"/>
      <c r="H426" s="136"/>
      <c r="I426" s="136"/>
      <c r="J426" s="136"/>
      <c r="K426" s="136"/>
      <c r="L426" s="136"/>
      <c r="M426" s="136"/>
      <c r="N426" s="136"/>
      <c r="O426" s="161"/>
      <c r="P426" s="136"/>
      <c r="S426" s="138"/>
      <c r="T426" s="138"/>
      <c r="U426" s="136"/>
    </row>
    <row r="427" spans="1:26" ht="10.8" thickBot="1">
      <c r="A427" s="136"/>
      <c r="C427" s="137"/>
      <c r="D427" s="566"/>
      <c r="E427" s="186"/>
      <c r="F427" s="136"/>
      <c r="G427" s="138"/>
      <c r="H427" s="136"/>
      <c r="I427" s="136"/>
      <c r="J427" s="136"/>
      <c r="K427" s="136"/>
      <c r="L427" s="136"/>
      <c r="M427" s="136"/>
      <c r="N427" s="136"/>
      <c r="O427" s="161"/>
      <c r="P427" s="136"/>
      <c r="S427" s="138"/>
      <c r="T427" s="138"/>
      <c r="U427" s="136"/>
    </row>
    <row r="428" spans="1:26" ht="10.8" thickBot="1">
      <c r="A428" s="159"/>
      <c r="B428" s="183"/>
      <c r="C428" s="137"/>
      <c r="D428" s="566"/>
      <c r="E428" s="186"/>
      <c r="F428" s="136"/>
      <c r="G428" s="138"/>
      <c r="H428" s="136"/>
      <c r="I428" s="136"/>
      <c r="J428" s="136"/>
      <c r="K428" s="136"/>
      <c r="L428" s="136"/>
      <c r="M428" s="136"/>
      <c r="N428" s="136"/>
      <c r="O428" s="161"/>
      <c r="P428" s="136"/>
      <c r="S428" s="138"/>
      <c r="T428" s="138"/>
      <c r="U428" s="136"/>
    </row>
    <row r="429" spans="1:26" ht="10.8" thickBot="1">
      <c r="A429" s="332"/>
      <c r="B429" s="532"/>
      <c r="C429" s="137"/>
      <c r="D429" s="566"/>
      <c r="E429" s="186"/>
      <c r="F429" s="136"/>
      <c r="G429" s="138"/>
      <c r="H429" s="136"/>
      <c r="I429" s="136"/>
      <c r="J429" s="136"/>
      <c r="K429" s="136"/>
      <c r="L429" s="136"/>
      <c r="M429" s="136"/>
      <c r="N429" s="136"/>
      <c r="O429" s="161"/>
      <c r="P429" s="136"/>
      <c r="S429" s="138"/>
      <c r="T429" s="138"/>
      <c r="U429" s="136"/>
    </row>
    <row r="430" spans="1:26" ht="10.8" thickBot="1">
      <c r="A430" s="619" t="s">
        <v>1156</v>
      </c>
      <c r="B430" s="333"/>
      <c r="C430" s="137"/>
      <c r="D430" s="191"/>
      <c r="E430" s="193"/>
      <c r="F430" s="136"/>
      <c r="G430" s="138"/>
      <c r="H430" s="136"/>
      <c r="I430" s="136"/>
      <c r="J430" s="136"/>
      <c r="K430" s="136"/>
      <c r="L430" s="136"/>
      <c r="M430" s="136"/>
      <c r="N430" s="136"/>
      <c r="O430" s="161"/>
      <c r="P430" s="136"/>
      <c r="S430" s="138"/>
      <c r="T430" s="138"/>
      <c r="U430" s="235"/>
    </row>
    <row r="431" spans="1:26" ht="10.8" thickBot="1">
      <c r="A431" s="279"/>
      <c r="B431" s="190"/>
      <c r="D431" s="563"/>
      <c r="E431" s="190"/>
      <c r="N431" s="156"/>
      <c r="O431" s="157"/>
      <c r="U431" s="595"/>
      <c r="V431" s="270"/>
    </row>
    <row r="432" spans="1:26">
      <c r="K432" s="277"/>
      <c r="N432" s="156"/>
      <c r="O432" s="157"/>
      <c r="U432" s="595"/>
      <c r="V432" s="263"/>
      <c r="X432" s="269"/>
    </row>
    <row r="433" spans="1:26" ht="13.2">
      <c r="A433" s="187" t="s">
        <v>1155</v>
      </c>
      <c r="B433" s="522">
        <f>SUM(O390:O433)</f>
        <v>6424</v>
      </c>
      <c r="C433" s="233" t="e">
        <f>B433/B377</f>
        <v>#DIV/0!</v>
      </c>
      <c r="D433" s="141" t="s">
        <v>574</v>
      </c>
      <c r="E433" s="194"/>
      <c r="F433" s="136"/>
      <c r="G433" s="138"/>
      <c r="H433" s="136"/>
      <c r="I433" s="136"/>
      <c r="J433" s="136"/>
      <c r="K433" s="136"/>
      <c r="L433" s="136"/>
      <c r="M433" s="136"/>
      <c r="N433" s="136"/>
      <c r="O433" s="161"/>
      <c r="P433" s="136"/>
      <c r="S433" s="138"/>
      <c r="T433" s="138"/>
      <c r="U433" s="587"/>
    </row>
    <row r="434" spans="1:26">
      <c r="A434" s="187" t="s">
        <v>463</v>
      </c>
      <c r="B434" s="527">
        <f>SUM(R374:R433)</f>
        <v>2</v>
      </c>
      <c r="C434" s="544">
        <f>B433/B434</f>
        <v>3212</v>
      </c>
      <c r="D434" s="512" t="s">
        <v>575</v>
      </c>
      <c r="F434" s="136"/>
      <c r="G434" s="138"/>
      <c r="H434" s="136"/>
      <c r="I434" s="136"/>
      <c r="J434" s="136"/>
      <c r="K434" s="136"/>
      <c r="L434" s="136"/>
      <c r="M434" s="136"/>
      <c r="N434" s="136"/>
      <c r="O434" s="161"/>
      <c r="P434" s="136"/>
      <c r="S434" s="138"/>
      <c r="T434" s="138"/>
      <c r="U434" s="587"/>
    </row>
    <row r="435" spans="1:26" s="335" customFormat="1" ht="13.2">
      <c r="A435" s="136"/>
      <c r="B435" s="136"/>
      <c r="C435" s="137"/>
      <c r="D435" s="512" t="s">
        <v>576</v>
      </c>
      <c r="E435" s="139"/>
      <c r="F435" s="136"/>
      <c r="G435" s="138"/>
      <c r="H435" s="136"/>
      <c r="I435" s="136"/>
      <c r="J435" s="136"/>
      <c r="K435" s="136"/>
      <c r="L435" s="136"/>
      <c r="M435" s="136"/>
      <c r="N435" s="136"/>
      <c r="O435" s="161"/>
      <c r="P435" s="136"/>
      <c r="Q435" s="139"/>
      <c r="R435" s="140"/>
      <c r="S435" s="138"/>
      <c r="T435" s="138"/>
      <c r="U435" s="136"/>
      <c r="V435" s="139"/>
      <c r="W435" s="139"/>
      <c r="X435" s="139"/>
      <c r="Y435" s="139"/>
      <c r="Z435" s="139"/>
    </row>
    <row r="436" spans="1:26" s="372" customFormat="1">
      <c r="A436" s="136" t="s">
        <v>464</v>
      </c>
      <c r="B436" s="533">
        <f>537.56*12</f>
        <v>6450.7199999999993</v>
      </c>
      <c r="C436" s="137"/>
      <c r="D436" s="512" t="s">
        <v>677</v>
      </c>
      <c r="E436" s="139"/>
      <c r="F436" s="136"/>
      <c r="G436" s="138"/>
      <c r="H436" s="136"/>
      <c r="I436" s="136"/>
      <c r="J436" s="136"/>
      <c r="K436" s="136"/>
      <c r="L436" s="136"/>
      <c r="M436" s="136"/>
      <c r="N436" s="136"/>
      <c r="O436" s="161"/>
      <c r="P436" s="136"/>
      <c r="Q436" s="139"/>
      <c r="R436" s="140"/>
      <c r="S436" s="138"/>
      <c r="T436" s="138"/>
      <c r="U436" s="186"/>
      <c r="V436" s="139"/>
      <c r="W436" s="139"/>
      <c r="X436" s="139"/>
      <c r="Y436" s="139"/>
      <c r="Z436" s="139"/>
    </row>
    <row r="437" spans="1:26" s="355" customFormat="1">
      <c r="A437" s="136"/>
      <c r="B437" s="136"/>
      <c r="C437" s="137"/>
      <c r="D437" s="512" t="s">
        <v>577</v>
      </c>
      <c r="E437" s="139"/>
      <c r="F437" s="136"/>
      <c r="G437" s="138"/>
      <c r="H437" s="136"/>
      <c r="I437" s="136"/>
      <c r="J437" s="136"/>
      <c r="K437" s="136"/>
      <c r="L437" s="136"/>
      <c r="M437" s="136"/>
      <c r="N437" s="136"/>
      <c r="O437" s="161"/>
      <c r="P437" s="136"/>
      <c r="Q437" s="139"/>
      <c r="R437" s="140"/>
      <c r="S437" s="138"/>
      <c r="T437" s="138"/>
      <c r="U437" s="186"/>
      <c r="V437" s="139"/>
      <c r="W437" s="139"/>
      <c r="X437" s="139"/>
      <c r="Y437" s="139"/>
      <c r="Z437" s="139"/>
    </row>
    <row r="438" spans="1:26" s="115" customFormat="1">
      <c r="A438" s="136" t="s">
        <v>1236</v>
      </c>
      <c r="B438" s="161">
        <f>B433-B436-E439</f>
        <v>-26.719999999999345</v>
      </c>
      <c r="C438" s="137"/>
      <c r="D438" s="512" t="s">
        <v>578</v>
      </c>
      <c r="E438" s="139"/>
      <c r="F438" s="136"/>
      <c r="G438" s="138"/>
      <c r="H438" s="136"/>
      <c r="I438" s="136"/>
      <c r="J438" s="136"/>
      <c r="K438" s="136"/>
      <c r="L438" s="161"/>
      <c r="M438" s="136"/>
      <c r="N438" s="136"/>
      <c r="O438" s="161"/>
      <c r="P438" s="136"/>
      <c r="Q438" s="139"/>
      <c r="R438" s="140"/>
      <c r="S438" s="138"/>
      <c r="T438" s="138"/>
      <c r="U438" s="186"/>
      <c r="V438" s="139"/>
      <c r="W438" s="139"/>
      <c r="X438" s="139"/>
      <c r="Y438" s="139"/>
      <c r="Z438" s="139"/>
    </row>
    <row r="439" spans="1:26" s="355" customFormat="1">
      <c r="A439" s="136" t="s">
        <v>466</v>
      </c>
      <c r="B439" s="161">
        <f>B433/12</f>
        <v>535.33333333333337</v>
      </c>
      <c r="C439" s="137"/>
      <c r="D439" s="235" t="s">
        <v>585</v>
      </c>
      <c r="E439" s="533">
        <f>SUM(E434:E438)</f>
        <v>0</v>
      </c>
      <c r="F439" s="136"/>
      <c r="G439" s="138"/>
      <c r="H439" s="136"/>
      <c r="I439" s="136"/>
      <c r="J439" s="136"/>
      <c r="K439" s="136"/>
      <c r="L439" s="136"/>
      <c r="M439" s="136"/>
      <c r="N439" s="136"/>
      <c r="O439" s="161"/>
      <c r="P439" s="136"/>
      <c r="Q439" s="139"/>
      <c r="R439" s="140"/>
      <c r="S439" s="138"/>
      <c r="T439" s="138"/>
      <c r="U439" s="186"/>
      <c r="V439" s="139"/>
      <c r="W439" s="139"/>
      <c r="X439" s="139"/>
      <c r="Y439" s="139"/>
      <c r="Z439" s="139"/>
    </row>
    <row r="440" spans="1:26" s="115" customFormat="1">
      <c r="A440" s="139"/>
      <c r="B440" s="139"/>
      <c r="C440" s="154"/>
      <c r="D440" s="154"/>
      <c r="E440" s="139"/>
      <c r="F440" s="139"/>
      <c r="G440" s="140"/>
      <c r="H440" s="139"/>
      <c r="I440" s="139"/>
      <c r="J440" s="139"/>
      <c r="K440" s="139"/>
      <c r="L440" s="139"/>
      <c r="M440" s="139"/>
      <c r="N440" s="139"/>
      <c r="O440" s="213"/>
      <c r="P440" s="139"/>
      <c r="Q440" s="139"/>
      <c r="R440" s="140"/>
      <c r="S440" s="140"/>
      <c r="T440" s="140"/>
      <c r="U440" s="139"/>
      <c r="V440" s="139"/>
      <c r="W440" s="139"/>
      <c r="X440" s="139"/>
      <c r="Y440" s="139"/>
      <c r="Z440" s="139"/>
    </row>
    <row r="441" spans="1:26" s="115" customFormat="1">
      <c r="A441" s="139"/>
      <c r="B441" s="139"/>
      <c r="C441" s="154"/>
      <c r="D441" s="154"/>
      <c r="E441" s="139"/>
      <c r="F441" s="139"/>
      <c r="G441" s="140"/>
      <c r="H441" s="139"/>
      <c r="I441" s="139"/>
      <c r="J441" s="139"/>
      <c r="K441" s="139"/>
      <c r="L441" s="139"/>
      <c r="M441" s="139"/>
      <c r="N441" s="139"/>
      <c r="O441" s="157"/>
      <c r="P441" s="139"/>
      <c r="Q441" s="139"/>
      <c r="R441" s="140"/>
      <c r="S441" s="140"/>
      <c r="T441" s="140"/>
      <c r="U441" s="139"/>
      <c r="V441" s="139"/>
      <c r="W441" s="139"/>
      <c r="X441" s="139"/>
      <c r="Y441" s="139"/>
      <c r="Z441" s="139"/>
    </row>
    <row r="442" spans="1:26" s="355" customFormat="1">
      <c r="A442" s="141" t="s">
        <v>1302</v>
      </c>
      <c r="B442" s="161"/>
      <c r="C442" s="137"/>
      <c r="D442" s="137"/>
      <c r="E442" s="136"/>
      <c r="F442" s="136"/>
      <c r="G442" s="138"/>
      <c r="H442" s="136"/>
      <c r="I442" s="136"/>
      <c r="J442" s="136"/>
      <c r="K442" s="136"/>
      <c r="L442" s="136"/>
      <c r="M442" s="136"/>
      <c r="N442" s="136"/>
      <c r="O442" s="161"/>
      <c r="P442" s="136"/>
      <c r="Q442" s="139"/>
      <c r="R442" s="140"/>
      <c r="S442" s="138"/>
      <c r="T442" s="138"/>
      <c r="U442" s="587"/>
      <c r="V442" s="139"/>
      <c r="W442" s="139"/>
      <c r="X442" s="139"/>
      <c r="Y442" s="139"/>
      <c r="Z442" s="139"/>
    </row>
    <row r="443" spans="1:26" s="115" customFormat="1">
      <c r="A443" s="139"/>
      <c r="B443" s="139"/>
      <c r="C443" s="154"/>
      <c r="D443" s="154"/>
      <c r="E443" s="139"/>
      <c r="F443" s="139"/>
      <c r="G443" s="140"/>
      <c r="H443" s="139"/>
      <c r="I443" s="139"/>
      <c r="J443" s="139"/>
      <c r="K443" s="139"/>
      <c r="L443" s="139"/>
      <c r="M443" s="139"/>
      <c r="N443" s="156"/>
      <c r="O443" s="157"/>
      <c r="P443" s="139"/>
      <c r="Q443" s="139"/>
      <c r="R443" s="140"/>
      <c r="S443" s="140"/>
      <c r="T443" s="140"/>
      <c r="U443" s="595"/>
      <c r="V443" s="270"/>
      <c r="W443" s="139"/>
      <c r="X443" s="139"/>
      <c r="Y443" s="139"/>
      <c r="Z443" s="139"/>
    </row>
    <row r="444" spans="1:26" s="115" customFormat="1">
      <c r="A444" s="143"/>
      <c r="B444" s="143"/>
      <c r="C444" s="144"/>
      <c r="D444" s="144"/>
      <c r="E444" s="143"/>
      <c r="F444" s="143"/>
      <c r="G444" s="145"/>
      <c r="H444" s="143"/>
      <c r="I444" s="143"/>
      <c r="J444" s="143"/>
      <c r="K444" s="143"/>
      <c r="L444" s="143"/>
      <c r="M444" s="143"/>
      <c r="N444" s="147"/>
      <c r="O444" s="148"/>
      <c r="P444" s="143"/>
      <c r="Q444" s="143"/>
      <c r="R444" s="145"/>
      <c r="S444" s="145"/>
      <c r="T444" s="145"/>
      <c r="U444" s="236"/>
      <c r="V444" s="238"/>
      <c r="W444" s="143"/>
      <c r="X444" s="143"/>
      <c r="Y444" s="143"/>
      <c r="Z444" s="143"/>
    </row>
    <row r="445" spans="1:26" s="115" customFormat="1">
      <c r="A445" s="143"/>
      <c r="B445" s="143"/>
      <c r="C445" s="144"/>
      <c r="D445" s="144"/>
      <c r="E445" s="143"/>
      <c r="F445" s="143"/>
      <c r="G445" s="145"/>
      <c r="H445" s="143"/>
      <c r="I445" s="143"/>
      <c r="J445" s="143"/>
      <c r="K445" s="143"/>
      <c r="L445" s="143"/>
      <c r="M445" s="143"/>
      <c r="N445" s="147"/>
      <c r="O445" s="148"/>
      <c r="P445" s="143"/>
      <c r="Q445" s="143"/>
      <c r="R445" s="145"/>
      <c r="S445" s="145"/>
      <c r="T445" s="145"/>
      <c r="U445" s="236"/>
      <c r="V445" s="238"/>
      <c r="W445" s="143"/>
      <c r="X445" s="143"/>
      <c r="Y445" s="143"/>
      <c r="Z445" s="143"/>
    </row>
    <row r="446" spans="1:26" s="355" customFormat="1">
      <c r="A446" s="143"/>
      <c r="B446" s="143"/>
      <c r="C446" s="144"/>
      <c r="D446" s="144"/>
      <c r="E446" s="143"/>
      <c r="F446" s="143"/>
      <c r="G446" s="145"/>
      <c r="H446" s="143"/>
      <c r="I446" s="143"/>
      <c r="J446" s="143"/>
      <c r="K446" s="143"/>
      <c r="L446" s="143"/>
      <c r="M446" s="143"/>
      <c r="N446" s="147"/>
      <c r="O446" s="148"/>
      <c r="P446" s="143"/>
      <c r="Q446" s="143"/>
      <c r="R446" s="145"/>
      <c r="S446" s="145"/>
      <c r="T446" s="145"/>
      <c r="U446" s="236"/>
      <c r="V446" s="238"/>
      <c r="W446" s="143"/>
      <c r="X446" s="143"/>
      <c r="Y446" s="143"/>
      <c r="Z446" s="143"/>
    </row>
    <row r="447" spans="1:26" s="372" customFormat="1">
      <c r="A447" s="143"/>
      <c r="B447" s="143"/>
      <c r="C447" s="144"/>
      <c r="D447" s="144"/>
      <c r="E447" s="143"/>
      <c r="F447" s="143"/>
      <c r="G447" s="145"/>
      <c r="H447" s="143"/>
      <c r="I447" s="143"/>
      <c r="J447" s="143"/>
      <c r="K447" s="143"/>
      <c r="L447" s="143"/>
      <c r="M447" s="143"/>
      <c r="N447" s="147"/>
      <c r="O447" s="148"/>
      <c r="P447" s="143"/>
      <c r="Q447" s="143"/>
      <c r="R447" s="145"/>
      <c r="S447" s="145"/>
      <c r="T447" s="145"/>
      <c r="U447" s="236"/>
      <c r="V447" s="238"/>
      <c r="W447" s="143"/>
      <c r="X447" s="143"/>
      <c r="Y447" s="143"/>
      <c r="Z447" s="143"/>
    </row>
    <row r="448" spans="1:26" s="355" customFormat="1">
      <c r="A448" s="143"/>
      <c r="B448" s="143"/>
      <c r="C448" s="144"/>
      <c r="D448" s="144"/>
      <c r="E448" s="143"/>
      <c r="F448" s="143"/>
      <c r="G448" s="145"/>
      <c r="H448" s="143"/>
      <c r="I448" s="143"/>
      <c r="J448" s="143"/>
      <c r="K448" s="143"/>
      <c r="L448" s="143"/>
      <c r="M448" s="143"/>
      <c r="N448" s="147"/>
      <c r="O448" s="148"/>
      <c r="P448" s="143"/>
      <c r="Q448" s="143"/>
      <c r="R448" s="145"/>
      <c r="S448" s="145"/>
      <c r="T448" s="145"/>
      <c r="U448" s="236"/>
      <c r="V448" s="238"/>
      <c r="W448" s="143"/>
      <c r="X448" s="143"/>
      <c r="Y448" s="143"/>
      <c r="Z448" s="143"/>
    </row>
    <row r="449" spans="1:26" s="115" customFormat="1">
      <c r="A449" s="143"/>
      <c r="B449" s="143"/>
      <c r="C449" s="144"/>
      <c r="D449" s="144"/>
      <c r="E449" s="143"/>
      <c r="F449" s="143"/>
      <c r="G449" s="145"/>
      <c r="H449" s="143"/>
      <c r="I449" s="143"/>
      <c r="J449" s="143"/>
      <c r="K449" s="143"/>
      <c r="L449" s="143"/>
      <c r="M449" s="143"/>
      <c r="N449" s="147"/>
      <c r="O449" s="148"/>
      <c r="P449" s="143"/>
      <c r="Q449" s="143"/>
      <c r="R449" s="145"/>
      <c r="S449" s="145"/>
      <c r="T449" s="145"/>
      <c r="U449" s="236"/>
      <c r="V449" s="238"/>
      <c r="W449" s="143"/>
      <c r="X449" s="143"/>
      <c r="Y449" s="143"/>
      <c r="Z449" s="143"/>
    </row>
    <row r="450" spans="1:26" s="355" customFormat="1">
      <c r="A450" s="143"/>
      <c r="B450" s="143"/>
      <c r="C450" s="144"/>
      <c r="D450" s="144"/>
      <c r="E450" s="143"/>
      <c r="F450" s="143"/>
      <c r="G450" s="145"/>
      <c r="H450" s="143"/>
      <c r="I450" s="143"/>
      <c r="J450" s="143"/>
      <c r="K450" s="143"/>
      <c r="L450" s="143"/>
      <c r="M450" s="143"/>
      <c r="N450" s="147"/>
      <c r="O450" s="148"/>
      <c r="P450" s="143"/>
      <c r="Q450" s="143"/>
      <c r="R450" s="145"/>
      <c r="S450" s="145"/>
      <c r="T450" s="145"/>
      <c r="U450" s="236"/>
      <c r="V450" s="238"/>
      <c r="W450" s="143"/>
      <c r="X450" s="143"/>
      <c r="Y450" s="143"/>
      <c r="Z450" s="143"/>
    </row>
    <row r="451" spans="1:26" s="115" customFormat="1">
      <c r="A451" s="143"/>
      <c r="B451" s="143"/>
      <c r="C451" s="144"/>
      <c r="D451" s="144"/>
      <c r="E451" s="143"/>
      <c r="F451" s="143"/>
      <c r="G451" s="145"/>
      <c r="H451" s="143"/>
      <c r="I451" s="143"/>
      <c r="J451" s="143"/>
      <c r="K451" s="143"/>
      <c r="L451" s="143"/>
      <c r="M451" s="143"/>
      <c r="N451" s="151"/>
      <c r="O451" s="148"/>
      <c r="P451" s="143"/>
      <c r="Q451" s="143"/>
      <c r="R451" s="145"/>
      <c r="S451" s="145"/>
      <c r="T451" s="145"/>
      <c r="U451" s="586"/>
      <c r="V451" s="238"/>
      <c r="W451" s="143"/>
      <c r="X451" s="143"/>
      <c r="Y451" s="143"/>
      <c r="Z451" s="143"/>
    </row>
    <row r="452" spans="1:26" s="355" customFormat="1">
      <c r="A452" s="139"/>
      <c r="B452" s="139"/>
      <c r="C452" s="154"/>
      <c r="D452" s="154"/>
      <c r="E452" s="139"/>
      <c r="F452" s="139"/>
      <c r="G452" s="140"/>
      <c r="H452" s="139"/>
      <c r="I452" s="139"/>
      <c r="J452" s="139"/>
      <c r="K452" s="277"/>
      <c r="L452" s="139"/>
      <c r="M452" s="139"/>
      <c r="N452" s="156"/>
      <c r="O452" s="157"/>
      <c r="P452" s="139"/>
      <c r="Q452" s="139"/>
      <c r="R452" s="140"/>
      <c r="S452" s="140"/>
      <c r="T452" s="140"/>
      <c r="U452" s="258"/>
      <c r="V452" s="263"/>
      <c r="W452" s="139"/>
      <c r="X452" s="269"/>
      <c r="Y452" s="139"/>
      <c r="Z452" s="139"/>
    </row>
    <row r="453" spans="1:26" s="355" customFormat="1" ht="13.2">
      <c r="A453" s="136" t="s">
        <v>1303</v>
      </c>
      <c r="B453" s="522">
        <f>SUM(O398:O453)</f>
        <v>3944</v>
      </c>
      <c r="C453" s="289" t="e">
        <f>B453/B389</f>
        <v>#DIV/0!</v>
      </c>
      <c r="D453" s="141" t="s">
        <v>574</v>
      </c>
      <c r="E453" s="194"/>
      <c r="F453" s="136"/>
      <c r="G453" s="138"/>
      <c r="H453" s="136"/>
      <c r="I453" s="136"/>
      <c r="J453" s="136"/>
      <c r="K453" s="136"/>
      <c r="L453" s="136"/>
      <c r="M453" s="136"/>
      <c r="N453" s="136"/>
      <c r="O453" s="161"/>
      <c r="P453" s="136"/>
      <c r="Q453" s="139"/>
      <c r="R453" s="140"/>
      <c r="S453" s="138"/>
      <c r="T453" s="138"/>
      <c r="U453" s="587"/>
      <c r="V453" s="139"/>
      <c r="W453" s="139"/>
      <c r="X453" s="139"/>
      <c r="Y453" s="139"/>
      <c r="Z453" s="139"/>
    </row>
    <row r="454" spans="1:26" s="392" customFormat="1">
      <c r="A454" s="136" t="s">
        <v>463</v>
      </c>
      <c r="B454" s="536">
        <f>SUM(R382:R453)</f>
        <v>2</v>
      </c>
      <c r="C454" s="544">
        <f>B453/B454</f>
        <v>1972</v>
      </c>
      <c r="D454" s="512" t="s">
        <v>575</v>
      </c>
      <c r="E454" s="139"/>
      <c r="F454" s="136"/>
      <c r="G454" s="138"/>
      <c r="H454" s="136"/>
      <c r="I454" s="136"/>
      <c r="J454" s="136"/>
      <c r="K454" s="136"/>
      <c r="L454" s="136"/>
      <c r="M454" s="136"/>
      <c r="N454" s="136"/>
      <c r="O454" s="161"/>
      <c r="P454" s="136"/>
      <c r="Q454" s="139"/>
      <c r="R454" s="140"/>
      <c r="S454" s="138"/>
      <c r="T454" s="138"/>
      <c r="U454" s="587"/>
      <c r="V454" s="139"/>
      <c r="W454" s="139"/>
      <c r="X454" s="139"/>
      <c r="Y454" s="139"/>
      <c r="Z454" s="139"/>
    </row>
    <row r="455" spans="1:26" s="383" customFormat="1">
      <c r="A455" s="136"/>
      <c r="B455" s="136"/>
      <c r="C455" s="137"/>
      <c r="D455" s="512" t="s">
        <v>576</v>
      </c>
      <c r="E455" s="139"/>
      <c r="F455" s="136"/>
      <c r="G455" s="138"/>
      <c r="H455" s="136"/>
      <c r="I455" s="136"/>
      <c r="J455" s="136"/>
      <c r="K455" s="136"/>
      <c r="L455" s="136"/>
      <c r="M455" s="136"/>
      <c r="N455" s="136"/>
      <c r="O455" s="161"/>
      <c r="P455" s="136"/>
      <c r="Q455" s="139"/>
      <c r="R455" s="140"/>
      <c r="S455" s="138"/>
      <c r="T455" s="138"/>
      <c r="U455" s="136"/>
      <c r="V455" s="139"/>
      <c r="W455" s="139"/>
      <c r="X455" s="139"/>
      <c r="Y455" s="139"/>
      <c r="Z455" s="139"/>
    </row>
    <row r="456" spans="1:26" s="408" customFormat="1">
      <c r="A456" s="136" t="s">
        <v>464</v>
      </c>
      <c r="B456" s="533">
        <f>537.56*12+5800</f>
        <v>12250.72</v>
      </c>
      <c r="C456" s="137"/>
      <c r="D456" s="512" t="s">
        <v>1304</v>
      </c>
      <c r="E456" s="139"/>
      <c r="F456" s="136"/>
      <c r="G456" s="138"/>
      <c r="H456" s="136"/>
      <c r="I456" s="136"/>
      <c r="J456" s="136"/>
      <c r="K456" s="136"/>
      <c r="L456" s="136"/>
      <c r="M456" s="136"/>
      <c r="N456" s="136"/>
      <c r="O456" s="161"/>
      <c r="P456" s="136"/>
      <c r="Q456" s="139"/>
      <c r="R456" s="140"/>
      <c r="S456" s="138"/>
      <c r="T456" s="138"/>
      <c r="U456" s="136"/>
      <c r="V456" s="139"/>
      <c r="W456" s="139"/>
      <c r="X456" s="139"/>
      <c r="Y456" s="139"/>
      <c r="Z456" s="139"/>
    </row>
    <row r="457" spans="1:26" s="355" customFormat="1">
      <c r="A457" s="136"/>
      <c r="B457" s="136"/>
      <c r="C457" s="137"/>
      <c r="D457" s="512" t="s">
        <v>577</v>
      </c>
      <c r="E457" s="139"/>
      <c r="F457" s="136"/>
      <c r="G457" s="138"/>
      <c r="H457" s="136"/>
      <c r="I457" s="136"/>
      <c r="J457" s="136"/>
      <c r="K457" s="136"/>
      <c r="L457" s="136"/>
      <c r="M457" s="136"/>
      <c r="N457" s="136"/>
      <c r="O457" s="161"/>
      <c r="P457" s="136"/>
      <c r="Q457" s="139"/>
      <c r="R457" s="140"/>
      <c r="S457" s="138"/>
      <c r="T457" s="138"/>
      <c r="U457" s="186"/>
      <c r="V457" s="139"/>
      <c r="W457" s="139"/>
      <c r="X457" s="139"/>
      <c r="Y457" s="139"/>
      <c r="Z457" s="139"/>
    </row>
    <row r="458" spans="1:26" s="372" customFormat="1">
      <c r="A458" s="136" t="s">
        <v>1236</v>
      </c>
      <c r="B458" s="161">
        <f>B453-B456-E459</f>
        <v>-8306.7199999999993</v>
      </c>
      <c r="C458" s="137"/>
      <c r="D458" s="512" t="s">
        <v>578</v>
      </c>
      <c r="E458" s="139"/>
      <c r="F458" s="136"/>
      <c r="G458" s="138"/>
      <c r="H458" s="136"/>
      <c r="I458" s="136"/>
      <c r="J458" s="136"/>
      <c r="K458" s="136"/>
      <c r="L458" s="161"/>
      <c r="M458" s="136"/>
      <c r="N458" s="136"/>
      <c r="O458" s="161"/>
      <c r="P458" s="136"/>
      <c r="Q458" s="139"/>
      <c r="R458" s="140"/>
      <c r="S458" s="138"/>
      <c r="T458" s="138"/>
      <c r="U458" s="186"/>
      <c r="V458" s="139"/>
      <c r="W458" s="139"/>
      <c r="X458" s="139"/>
      <c r="Y458" s="139"/>
      <c r="Z458" s="139"/>
    </row>
    <row r="459" spans="1:26" s="194" customFormat="1" ht="13.8" thickBot="1">
      <c r="A459" s="136" t="s">
        <v>466</v>
      </c>
      <c r="B459" s="161">
        <f>B453/12</f>
        <v>328.66666666666669</v>
      </c>
      <c r="C459" s="137"/>
      <c r="D459" s="235" t="s">
        <v>585</v>
      </c>
      <c r="E459" s="533">
        <f>SUM(E454:E458)</f>
        <v>0</v>
      </c>
      <c r="F459" s="136"/>
      <c r="G459" s="138"/>
      <c r="H459" s="136"/>
      <c r="I459" s="136"/>
      <c r="J459" s="136"/>
      <c r="K459" s="136"/>
      <c r="L459" s="136"/>
      <c r="M459" s="136"/>
      <c r="N459" s="136"/>
      <c r="O459" s="161"/>
      <c r="P459" s="136"/>
      <c r="Q459" s="139"/>
      <c r="R459" s="140"/>
      <c r="S459" s="138"/>
      <c r="T459" s="138"/>
      <c r="U459" s="136"/>
      <c r="V459" s="139"/>
      <c r="W459" s="139"/>
      <c r="X459" s="139"/>
      <c r="Y459" s="139"/>
      <c r="Z459" s="139"/>
    </row>
    <row r="460" spans="1:26" ht="10.8" thickBot="1">
      <c r="A460" s="514"/>
      <c r="B460" s="217"/>
      <c r="C460" s="137"/>
      <c r="D460" s="564"/>
      <c r="E460" s="524"/>
      <c r="F460" s="136"/>
      <c r="G460" s="138"/>
      <c r="H460" s="136"/>
      <c r="I460" s="136"/>
      <c r="J460" s="136"/>
      <c r="K460" s="136"/>
      <c r="L460" s="136"/>
      <c r="M460" s="136"/>
      <c r="N460" s="136"/>
      <c r="O460" s="161"/>
      <c r="P460" s="136"/>
      <c r="S460" s="138"/>
      <c r="T460" s="138"/>
      <c r="U460" s="235"/>
    </row>
    <row r="461" spans="1:26" ht="10.8" thickBot="1">
      <c r="A461" s="279"/>
      <c r="B461" s="218"/>
      <c r="C461" s="547"/>
      <c r="D461" s="556"/>
      <c r="E461" s="186"/>
      <c r="F461" s="136"/>
      <c r="G461" s="138"/>
      <c r="H461" s="136"/>
      <c r="I461" s="136"/>
      <c r="J461" s="136"/>
      <c r="K461" s="136"/>
      <c r="L461" s="136"/>
      <c r="M461" s="136"/>
      <c r="N461" s="136"/>
      <c r="O461" s="161"/>
      <c r="P461" s="136"/>
      <c r="S461" s="138"/>
      <c r="T461" s="138"/>
      <c r="U461" s="235"/>
    </row>
    <row r="462" spans="1:26" ht="10.8" thickBot="1">
      <c r="B462" s="161"/>
      <c r="C462" s="137"/>
      <c r="D462" s="556"/>
      <c r="E462" s="186"/>
      <c r="F462" s="136"/>
      <c r="G462" s="138"/>
      <c r="H462" s="136"/>
      <c r="I462" s="136"/>
      <c r="J462" s="136"/>
      <c r="K462" s="136"/>
      <c r="L462" s="136"/>
      <c r="M462" s="136"/>
      <c r="N462" s="136"/>
      <c r="O462" s="161"/>
      <c r="P462" s="136"/>
      <c r="S462" s="138"/>
      <c r="T462" s="138"/>
      <c r="U462" s="235"/>
    </row>
    <row r="463" spans="1:26" ht="10.8" thickBot="1">
      <c r="A463" s="514"/>
      <c r="B463" s="217"/>
      <c r="C463" s="137"/>
      <c r="D463" s="556"/>
      <c r="E463" s="186"/>
      <c r="F463" s="136"/>
      <c r="G463" s="138"/>
      <c r="H463" s="136"/>
      <c r="I463" s="136"/>
      <c r="J463" s="136"/>
      <c r="K463" s="136"/>
      <c r="L463" s="136"/>
      <c r="M463" s="136"/>
      <c r="N463" s="136"/>
      <c r="O463" s="161"/>
      <c r="P463" s="136"/>
      <c r="S463" s="138"/>
      <c r="T463" s="138"/>
      <c r="U463" s="235"/>
    </row>
    <row r="464" spans="1:26" ht="10.8" thickBot="1">
      <c r="A464" s="627"/>
      <c r="B464" s="641"/>
      <c r="C464" s="137"/>
      <c r="D464" s="556"/>
      <c r="E464" s="186"/>
      <c r="F464" s="136"/>
      <c r="G464" s="138"/>
      <c r="H464" s="136"/>
      <c r="I464" s="136"/>
      <c r="J464" s="136"/>
      <c r="K464" s="136"/>
      <c r="L464" s="136"/>
      <c r="M464" s="136"/>
      <c r="N464" s="136"/>
      <c r="O464" s="161"/>
      <c r="P464" s="136"/>
      <c r="S464" s="138"/>
      <c r="T464" s="138"/>
      <c r="U464" s="235"/>
    </row>
    <row r="465" spans="1:26" ht="10.8" thickBot="1">
      <c r="A465" s="153"/>
      <c r="B465" s="333"/>
      <c r="C465" s="137"/>
      <c r="D465" s="191"/>
      <c r="E465" s="193"/>
      <c r="F465" s="136"/>
      <c r="G465" s="138"/>
      <c r="H465" s="136"/>
      <c r="I465" s="136"/>
      <c r="J465" s="136"/>
      <c r="K465" s="136"/>
      <c r="L465" s="136"/>
      <c r="M465" s="136"/>
      <c r="N465" s="136"/>
      <c r="O465" s="161"/>
      <c r="P465" s="136"/>
      <c r="S465" s="138"/>
      <c r="T465" s="138"/>
      <c r="U465" s="235"/>
    </row>
    <row r="466" spans="1:26" ht="10.8" thickBot="1">
      <c r="A466" s="279"/>
      <c r="B466" s="218"/>
      <c r="C466" s="137"/>
      <c r="D466" s="191"/>
      <c r="E466" s="193"/>
      <c r="F466" s="136"/>
      <c r="G466" s="138"/>
      <c r="H466" s="136"/>
      <c r="I466" s="136"/>
      <c r="J466" s="136"/>
      <c r="K466" s="136"/>
      <c r="L466" s="136"/>
      <c r="M466" s="136"/>
      <c r="N466" s="136"/>
      <c r="O466" s="161"/>
      <c r="P466" s="136"/>
      <c r="S466" s="138"/>
      <c r="T466" s="138"/>
      <c r="U466" s="235"/>
    </row>
    <row r="467" spans="1:26">
      <c r="B467" s="161"/>
      <c r="C467" s="137"/>
      <c r="D467" s="137"/>
      <c r="E467" s="136"/>
      <c r="F467" s="136"/>
      <c r="G467" s="138"/>
      <c r="H467" s="136"/>
      <c r="I467" s="136"/>
      <c r="J467" s="136"/>
      <c r="K467" s="136"/>
      <c r="L467" s="136"/>
      <c r="M467" s="136"/>
      <c r="N467" s="136"/>
      <c r="O467" s="161"/>
      <c r="P467" s="136"/>
      <c r="S467" s="138"/>
      <c r="T467" s="138"/>
      <c r="U467" s="235"/>
    </row>
    <row r="468" spans="1:26">
      <c r="A468" s="619"/>
      <c r="B468" s="161"/>
      <c r="C468" s="137"/>
      <c r="D468" s="137"/>
      <c r="E468" s="136"/>
      <c r="F468" s="136"/>
      <c r="G468" s="138"/>
      <c r="H468" s="136"/>
      <c r="I468" s="136"/>
      <c r="J468" s="136"/>
      <c r="K468" s="136"/>
      <c r="L468" s="136"/>
      <c r="M468" s="136"/>
      <c r="N468" s="136"/>
      <c r="O468" s="161"/>
      <c r="P468" s="136"/>
      <c r="S468" s="138"/>
      <c r="T468" s="138"/>
      <c r="U468" s="587"/>
    </row>
    <row r="469" spans="1:26">
      <c r="A469" s="619" t="s">
        <v>1461</v>
      </c>
      <c r="B469" s="161"/>
      <c r="C469" s="137"/>
      <c r="D469" s="137"/>
      <c r="E469" s="136"/>
      <c r="F469" s="136"/>
      <c r="G469" s="138"/>
      <c r="H469" s="136"/>
      <c r="I469" s="136"/>
      <c r="J469" s="136"/>
      <c r="K469" s="136"/>
      <c r="L469" s="136"/>
      <c r="M469" s="136"/>
      <c r="N469" s="136"/>
      <c r="O469" s="161"/>
      <c r="P469" s="136"/>
      <c r="S469" s="138"/>
      <c r="T469" s="138"/>
      <c r="U469" s="587"/>
    </row>
    <row r="470" spans="1:26" s="335" customFormat="1" ht="13.2">
      <c r="A470" s="139"/>
      <c r="B470" s="139"/>
      <c r="C470" s="154"/>
      <c r="D470" s="154"/>
      <c r="E470" s="139"/>
      <c r="F470" s="139"/>
      <c r="G470" s="140"/>
      <c r="H470" s="139"/>
      <c r="I470" s="139"/>
      <c r="J470" s="139"/>
      <c r="K470" s="139"/>
      <c r="L470" s="139"/>
      <c r="M470" s="139"/>
      <c r="N470" s="156"/>
      <c r="O470" s="157"/>
      <c r="P470" s="139"/>
      <c r="Q470" s="139"/>
      <c r="R470" s="140"/>
      <c r="S470" s="140"/>
      <c r="T470" s="140"/>
      <c r="U470" s="595"/>
      <c r="V470" s="270"/>
      <c r="W470" s="139"/>
      <c r="X470" s="139"/>
      <c r="Y470" s="139"/>
      <c r="Z470" s="139"/>
    </row>
    <row r="471" spans="1:26">
      <c r="A471" s="143"/>
      <c r="B471" s="143"/>
      <c r="C471" s="144"/>
      <c r="D471" s="144"/>
      <c r="E471" s="143"/>
      <c r="F471" s="143"/>
      <c r="G471" s="145"/>
      <c r="H471" s="143"/>
      <c r="I471" s="143"/>
      <c r="J471" s="143"/>
      <c r="K471" s="143"/>
      <c r="L471" s="143"/>
      <c r="M471" s="143"/>
      <c r="N471" s="147"/>
      <c r="O471" s="148"/>
      <c r="P471" s="143"/>
      <c r="Q471" s="143"/>
      <c r="R471" s="145"/>
      <c r="S471" s="145"/>
      <c r="T471" s="145"/>
      <c r="U471" s="236"/>
      <c r="V471" s="238"/>
      <c r="W471" s="143"/>
      <c r="X471" s="143"/>
      <c r="Y471" s="143"/>
      <c r="Z471" s="143"/>
    </row>
    <row r="472" spans="1:26" s="115" customFormat="1">
      <c r="A472" s="143"/>
      <c r="B472" s="143"/>
      <c r="C472" s="144"/>
      <c r="D472" s="144"/>
      <c r="E472" s="143"/>
      <c r="F472" s="143"/>
      <c r="G472" s="145"/>
      <c r="H472" s="143"/>
      <c r="I472" s="143"/>
      <c r="J472" s="143"/>
      <c r="K472" s="143"/>
      <c r="L472" s="143"/>
      <c r="M472" s="143"/>
      <c r="N472" s="147"/>
      <c r="O472" s="148"/>
      <c r="P472" s="143"/>
      <c r="Q472" s="143"/>
      <c r="R472" s="145"/>
      <c r="S472" s="145"/>
      <c r="T472" s="145"/>
      <c r="U472" s="236"/>
      <c r="V472" s="238"/>
      <c r="W472" s="143"/>
      <c r="X472" s="143"/>
      <c r="Y472" s="143"/>
      <c r="Z472" s="143"/>
    </row>
    <row r="473" spans="1:26" s="8" customFormat="1">
      <c r="A473" s="143"/>
      <c r="B473" s="143"/>
      <c r="C473" s="144"/>
      <c r="D473" s="144"/>
      <c r="E473" s="143"/>
      <c r="F473" s="143"/>
      <c r="G473" s="145"/>
      <c r="H473" s="143"/>
      <c r="I473" s="143"/>
      <c r="J473" s="143"/>
      <c r="K473" s="143"/>
      <c r="L473" s="143"/>
      <c r="M473" s="143"/>
      <c r="N473" s="151"/>
      <c r="O473" s="148"/>
      <c r="P473" s="143"/>
      <c r="Q473" s="143"/>
      <c r="R473" s="145"/>
      <c r="S473" s="145"/>
      <c r="T473" s="145"/>
      <c r="U473" s="236"/>
      <c r="V473" s="238"/>
      <c r="W473" s="143"/>
      <c r="X473" s="143"/>
      <c r="Y473" s="143"/>
      <c r="Z473" s="143"/>
    </row>
    <row r="474" spans="1:26" s="8" customFormat="1">
      <c r="A474" s="139"/>
      <c r="B474" s="139"/>
      <c r="C474" s="154"/>
      <c r="D474" s="154"/>
      <c r="E474" s="139"/>
      <c r="F474" s="139"/>
      <c r="G474" s="140"/>
      <c r="H474" s="139"/>
      <c r="I474" s="139"/>
      <c r="J474" s="139"/>
      <c r="K474" s="277"/>
      <c r="L474" s="139"/>
      <c r="M474" s="139"/>
      <c r="N474" s="156"/>
      <c r="O474" s="157"/>
      <c r="P474" s="139"/>
      <c r="Q474" s="139"/>
      <c r="R474" s="140"/>
      <c r="S474" s="140"/>
      <c r="T474" s="140"/>
      <c r="U474" s="258"/>
      <c r="V474" s="263"/>
      <c r="W474" s="139"/>
      <c r="X474" s="269"/>
      <c r="Y474" s="139"/>
      <c r="Z474" s="139"/>
    </row>
    <row r="475" spans="1:26" s="355" customFormat="1" ht="13.2">
      <c r="A475" s="136" t="s">
        <v>1574</v>
      </c>
      <c r="B475" s="522">
        <f>SUM(O404:O475)</f>
        <v>3944</v>
      </c>
      <c r="C475" s="289">
        <f>B475/B397</f>
        <v>-0.20828844358256124</v>
      </c>
      <c r="D475" s="141" t="s">
        <v>574</v>
      </c>
      <c r="E475" s="194"/>
      <c r="F475" s="136"/>
      <c r="G475" s="138"/>
      <c r="H475" s="136"/>
      <c r="I475" s="136"/>
      <c r="J475" s="136"/>
      <c r="K475" s="136"/>
      <c r="L475" s="136"/>
      <c r="M475" s="136"/>
      <c r="N475" s="136"/>
      <c r="O475" s="161"/>
      <c r="P475" s="136"/>
      <c r="Q475" s="139"/>
      <c r="R475" s="140"/>
      <c r="S475" s="138"/>
      <c r="T475" s="138"/>
      <c r="U475" s="235"/>
      <c r="V475" s="139"/>
      <c r="W475" s="139"/>
      <c r="X475" s="139"/>
      <c r="Y475" s="139"/>
      <c r="Z475" s="139"/>
    </row>
    <row r="476" spans="1:26" s="115" customFormat="1">
      <c r="A476" s="136" t="s">
        <v>463</v>
      </c>
      <c r="B476" s="536">
        <f>SUM(R391:R475)</f>
        <v>2</v>
      </c>
      <c r="C476" s="544">
        <f>B475/B476</f>
        <v>1972</v>
      </c>
      <c r="D476" s="512" t="s">
        <v>575</v>
      </c>
      <c r="E476" s="139"/>
      <c r="F476" s="136"/>
      <c r="G476" s="138"/>
      <c r="H476" s="136"/>
      <c r="I476" s="136"/>
      <c r="J476" s="136"/>
      <c r="K476" s="136"/>
      <c r="L476" s="136"/>
      <c r="M476" s="136"/>
      <c r="N476" s="136"/>
      <c r="O476" s="161"/>
      <c r="P476" s="136"/>
      <c r="Q476" s="139"/>
      <c r="R476" s="140"/>
      <c r="S476" s="138">
        <v>3270</v>
      </c>
      <c r="T476" s="138"/>
      <c r="U476" s="235"/>
      <c r="V476" s="139">
        <f xml:space="preserve"> 3270/4</f>
        <v>817.5</v>
      </c>
      <c r="W476" s="139"/>
      <c r="X476" s="139"/>
      <c r="Y476" s="139"/>
      <c r="Z476" s="139"/>
    </row>
    <row r="477" spans="1:26" s="355" customFormat="1">
      <c r="A477" s="136"/>
      <c r="B477" s="136"/>
      <c r="C477" s="137"/>
      <c r="D477" s="512" t="s">
        <v>576</v>
      </c>
      <c r="E477" s="139"/>
      <c r="F477" s="136"/>
      <c r="G477" s="138"/>
      <c r="H477" s="136"/>
      <c r="I477" s="136"/>
      <c r="J477" s="136"/>
      <c r="K477" s="139"/>
      <c r="L477" s="136"/>
      <c r="M477" s="136"/>
      <c r="N477" s="136"/>
      <c r="O477" s="161"/>
      <c r="P477" s="136"/>
      <c r="Q477" s="139"/>
      <c r="R477" s="140"/>
      <c r="S477" s="138">
        <v>1190</v>
      </c>
      <c r="T477" s="138">
        <f>S477/4</f>
        <v>297.5</v>
      </c>
      <c r="U477" s="333">
        <f>S477-T477</f>
        <v>892.5</v>
      </c>
      <c r="V477" s="139">
        <f>1190/4*3</f>
        <v>892.5</v>
      </c>
      <c r="W477" s="139"/>
      <c r="X477" s="139"/>
      <c r="Y477" s="139"/>
      <c r="Z477" s="139"/>
    </row>
    <row r="478" spans="1:26" s="355" customFormat="1">
      <c r="A478" s="136" t="s">
        <v>464</v>
      </c>
      <c r="B478" s="537">
        <f>537.56*12</f>
        <v>6450.7199999999993</v>
      </c>
      <c r="C478" s="137"/>
      <c r="D478" s="512" t="s">
        <v>1304</v>
      </c>
      <c r="E478" s="139"/>
      <c r="F478" s="136"/>
      <c r="G478" s="138"/>
      <c r="H478" s="136"/>
      <c r="I478" s="136"/>
      <c r="J478" s="136"/>
      <c r="K478" s="139"/>
      <c r="L478" s="136"/>
      <c r="M478" s="136"/>
      <c r="N478" s="136"/>
      <c r="O478" s="161"/>
      <c r="P478" s="136"/>
      <c r="Q478" s="139"/>
      <c r="R478" s="140"/>
      <c r="S478" s="138">
        <v>1090</v>
      </c>
      <c r="T478" s="138"/>
      <c r="U478" s="136"/>
      <c r="V478" s="139"/>
      <c r="W478" s="139"/>
      <c r="X478" s="139"/>
      <c r="Y478" s="139"/>
      <c r="Z478" s="139"/>
    </row>
    <row r="479" spans="1:26" s="115" customFormat="1">
      <c r="A479" s="136" t="s">
        <v>574</v>
      </c>
      <c r="B479" s="523">
        <f>E481</f>
        <v>6962.6399999999976</v>
      </c>
      <c r="C479" s="137"/>
      <c r="D479" s="512" t="s">
        <v>577</v>
      </c>
      <c r="E479" s="139"/>
      <c r="F479" s="136"/>
      <c r="G479" s="138"/>
      <c r="H479" s="136"/>
      <c r="I479" s="136"/>
      <c r="J479" s="136"/>
      <c r="K479" s="139"/>
      <c r="L479" s="136"/>
      <c r="M479" s="136"/>
      <c r="N479" s="136"/>
      <c r="O479" s="161"/>
      <c r="P479" s="136"/>
      <c r="Q479" s="139"/>
      <c r="R479" s="140"/>
      <c r="S479" s="138">
        <v>990</v>
      </c>
      <c r="T479" s="138"/>
      <c r="U479" s="136"/>
      <c r="V479" s="139"/>
      <c r="W479" s="139"/>
      <c r="X479" s="139"/>
      <c r="Y479" s="139"/>
      <c r="Z479" s="139"/>
    </row>
    <row r="480" spans="1:26" s="451" customFormat="1">
      <c r="A480" s="136" t="s">
        <v>1534</v>
      </c>
      <c r="B480" s="161">
        <f>B475-B478-B479</f>
        <v>-9469.3599999999969</v>
      </c>
      <c r="C480" s="137"/>
      <c r="D480" s="512" t="s">
        <v>578</v>
      </c>
      <c r="E480" s="139"/>
      <c r="F480" s="136"/>
      <c r="G480" s="138"/>
      <c r="H480" s="136"/>
      <c r="I480" s="136"/>
      <c r="J480" s="136"/>
      <c r="K480" s="139"/>
      <c r="L480" s="161"/>
      <c r="M480" s="136"/>
      <c r="N480" s="136"/>
      <c r="O480" s="161"/>
      <c r="P480" s="136"/>
      <c r="Q480" s="139"/>
      <c r="R480" s="140"/>
      <c r="S480" s="138" t="e">
        <f>S477:S479</f>
        <v>#VALUE!</v>
      </c>
      <c r="T480" s="138"/>
      <c r="U480" s="136"/>
      <c r="V480" s="139"/>
      <c r="W480" s="139"/>
      <c r="X480" s="139"/>
      <c r="Y480" s="139"/>
      <c r="Z480" s="139"/>
    </row>
    <row r="481" spans="1:26" s="355" customFormat="1">
      <c r="A481" s="136" t="s">
        <v>466</v>
      </c>
      <c r="B481" s="161">
        <f>B480/12</f>
        <v>-789.11333333333312</v>
      </c>
      <c r="C481" s="137"/>
      <c r="D481" s="235" t="s">
        <v>585</v>
      </c>
      <c r="E481" s="573">
        <v>6962.6399999999976</v>
      </c>
      <c r="F481" s="136"/>
      <c r="G481" s="138"/>
      <c r="H481" s="136"/>
      <c r="I481" s="136"/>
      <c r="J481" s="136"/>
      <c r="K481" s="139"/>
      <c r="L481" s="136"/>
      <c r="M481" s="136"/>
      <c r="N481" s="136"/>
      <c r="O481" s="161"/>
      <c r="P481" s="136"/>
      <c r="Q481" s="139"/>
      <c r="R481" s="140"/>
      <c r="S481" s="138"/>
      <c r="T481" s="138"/>
      <c r="U481" s="186"/>
      <c r="V481" s="139"/>
      <c r="W481" s="139"/>
      <c r="X481" s="139"/>
      <c r="Y481" s="139"/>
      <c r="Z481" s="139"/>
    </row>
    <row r="482" spans="1:26" s="115" customFormat="1" ht="13.2">
      <c r="A482" s="194"/>
      <c r="B482" s="194"/>
      <c r="C482" s="194"/>
      <c r="D482" s="194"/>
      <c r="E482" s="194"/>
      <c r="F482" s="194"/>
      <c r="G482" s="334"/>
      <c r="H482" s="194"/>
      <c r="I482" s="194"/>
      <c r="J482" s="194"/>
      <c r="K482" s="194"/>
      <c r="L482" s="194"/>
      <c r="M482" s="194"/>
      <c r="N482" s="194"/>
      <c r="O482" s="194"/>
      <c r="P482" s="194"/>
      <c r="Q482" s="194"/>
      <c r="R482" s="334"/>
      <c r="S482" s="334"/>
      <c r="T482" s="334"/>
      <c r="U482" s="194"/>
      <c r="V482" s="194"/>
      <c r="W482" s="194"/>
      <c r="X482" s="194"/>
      <c r="Y482" s="194"/>
      <c r="Z482" s="194"/>
    </row>
    <row r="483" spans="1:26" s="355" customFormat="1" ht="13.2">
      <c r="A483" s="335"/>
      <c r="B483" s="335"/>
      <c r="C483" s="335"/>
      <c r="D483" s="335"/>
      <c r="E483" s="335"/>
      <c r="F483" s="335"/>
      <c r="G483" s="336"/>
      <c r="H483" s="335"/>
      <c r="I483" s="335"/>
      <c r="J483" s="335"/>
      <c r="K483" s="335"/>
      <c r="L483" s="335"/>
      <c r="M483" s="335"/>
      <c r="N483" s="335"/>
      <c r="O483" s="335"/>
      <c r="P483" s="335"/>
      <c r="Q483" s="335"/>
      <c r="R483" s="336"/>
      <c r="S483" s="336"/>
      <c r="T483" s="336"/>
      <c r="U483" s="335"/>
      <c r="V483" s="335"/>
      <c r="W483" s="335"/>
      <c r="X483" s="335"/>
      <c r="Y483" s="335"/>
      <c r="Z483" s="335"/>
    </row>
    <row r="484" spans="1:26" s="355" customFormat="1" ht="13.2">
      <c r="A484" s="335"/>
      <c r="B484" s="335"/>
      <c r="C484" s="335"/>
      <c r="D484" s="335"/>
      <c r="E484" s="335"/>
      <c r="F484" s="335"/>
      <c r="G484" s="336"/>
      <c r="H484" s="335"/>
      <c r="I484" s="335"/>
      <c r="J484" s="335"/>
      <c r="K484" s="335"/>
      <c r="L484" s="335"/>
      <c r="M484" s="335"/>
      <c r="N484" s="335"/>
      <c r="O484" s="335"/>
      <c r="P484" s="335"/>
      <c r="Q484" s="335"/>
      <c r="R484" s="336"/>
      <c r="S484" s="336"/>
      <c r="T484" s="336"/>
      <c r="U484" s="335"/>
      <c r="V484" s="335"/>
      <c r="W484" s="335"/>
      <c r="X484" s="335"/>
      <c r="Y484" s="335"/>
      <c r="Z484" s="335"/>
    </row>
    <row r="485" spans="1:26" s="115" customFormat="1" ht="13.2">
      <c r="A485" s="335"/>
      <c r="B485" s="335"/>
      <c r="C485" s="335"/>
      <c r="D485" s="335"/>
      <c r="E485" s="335"/>
      <c r="F485" s="335"/>
      <c r="G485" s="336"/>
      <c r="H485" s="335"/>
      <c r="I485" s="335"/>
      <c r="J485" s="335"/>
      <c r="K485" s="335"/>
      <c r="L485" s="335"/>
      <c r="M485" s="335"/>
      <c r="N485" s="335"/>
      <c r="O485" s="335"/>
      <c r="P485" s="335"/>
      <c r="Q485" s="335"/>
      <c r="R485" s="336"/>
      <c r="S485" s="336"/>
      <c r="T485" s="336"/>
      <c r="U485" s="335"/>
      <c r="V485" s="335"/>
      <c r="W485" s="335"/>
      <c r="X485" s="335"/>
      <c r="Y485" s="335"/>
      <c r="Z485" s="335"/>
    </row>
    <row r="486" spans="1:26" s="115" customFormat="1" ht="13.2">
      <c r="A486" s="141" t="s">
        <v>1575</v>
      </c>
      <c r="B486" s="335"/>
      <c r="C486" s="335"/>
      <c r="D486" s="335"/>
      <c r="E486" s="335"/>
      <c r="F486" s="335"/>
      <c r="G486" s="336"/>
      <c r="H486" s="335"/>
      <c r="I486" s="335"/>
      <c r="J486" s="335"/>
      <c r="K486" s="335"/>
      <c r="L486" s="335"/>
      <c r="M486" s="335"/>
      <c r="N486" s="335"/>
      <c r="O486" s="335"/>
      <c r="P486" s="335"/>
      <c r="Q486" s="335"/>
      <c r="R486" s="336"/>
      <c r="S486" s="336"/>
      <c r="T486" s="336"/>
      <c r="U486" s="589">
        <f>U495*3</f>
        <v>0</v>
      </c>
      <c r="V486" s="335"/>
      <c r="W486" s="335"/>
      <c r="X486" s="335"/>
      <c r="Y486" s="335"/>
      <c r="Z486" s="335"/>
    </row>
    <row r="487" spans="1:26" s="115" customFormat="1" ht="13.2">
      <c r="A487" s="141"/>
      <c r="B487" s="335"/>
      <c r="C487" s="335"/>
      <c r="D487" s="335"/>
      <c r="E487" s="335"/>
      <c r="F487" s="335"/>
      <c r="G487" s="336"/>
      <c r="H487" s="335"/>
      <c r="I487" s="335"/>
      <c r="J487" s="335"/>
      <c r="K487" s="335"/>
      <c r="L487" s="335"/>
      <c r="M487" s="335"/>
      <c r="N487" s="335"/>
      <c r="O487" s="335"/>
      <c r="P487" s="335"/>
      <c r="Q487" s="335"/>
      <c r="R487" s="336"/>
      <c r="S487" s="336"/>
      <c r="T487" s="336"/>
      <c r="U487" s="574"/>
      <c r="V487" s="335"/>
      <c r="W487" s="335"/>
      <c r="X487" s="335"/>
      <c r="Y487" s="335"/>
      <c r="Z487" s="335"/>
    </row>
    <row r="488" spans="1:26" s="115" customFormat="1" ht="13.2">
      <c r="A488" s="194"/>
      <c r="B488" s="139"/>
      <c r="C488" s="154"/>
      <c r="D488" s="154"/>
      <c r="E488" s="194"/>
      <c r="F488" s="139"/>
      <c r="G488" s="334"/>
      <c r="H488" s="139"/>
      <c r="I488" s="139"/>
      <c r="J488" s="139"/>
      <c r="K488" s="345"/>
      <c r="L488" s="345"/>
      <c r="M488" s="139"/>
      <c r="N488" s="264"/>
      <c r="O488" s="157"/>
      <c r="P488" s="139"/>
      <c r="Q488" s="139"/>
      <c r="R488" s="140"/>
      <c r="S488" s="140"/>
      <c r="T488" s="140"/>
      <c r="U488" s="258"/>
      <c r="V488" s="263"/>
      <c r="W488" s="139"/>
      <c r="X488" s="139"/>
      <c r="Y488" s="139"/>
      <c r="Z488" s="139"/>
    </row>
    <row r="489" spans="1:26" s="355" customFormat="1" ht="13.2">
      <c r="A489" s="194"/>
      <c r="B489" s="139"/>
      <c r="C489" s="154"/>
      <c r="D489" s="154"/>
      <c r="E489" s="194"/>
      <c r="F489" s="139"/>
      <c r="G489" s="334"/>
      <c r="H489" s="347"/>
      <c r="I489" s="139"/>
      <c r="J489" s="139"/>
      <c r="K489" s="345"/>
      <c r="L489" s="345"/>
      <c r="M489" s="139"/>
      <c r="N489" s="264"/>
      <c r="O489" s="157"/>
      <c r="P489" s="139"/>
      <c r="Q489" s="139">
        <f>O474-U474</f>
        <v>0</v>
      </c>
      <c r="R489" s="140"/>
      <c r="S489" s="140"/>
      <c r="T489" s="140"/>
      <c r="U489" s="258"/>
      <c r="V489" s="263"/>
      <c r="W489" s="139"/>
      <c r="X489" s="139"/>
      <c r="Y489" s="139"/>
      <c r="Z489" s="139"/>
    </row>
    <row r="490" spans="1:26" s="291" customFormat="1" ht="13.2">
      <c r="A490" s="194"/>
      <c r="B490" s="139"/>
      <c r="C490" s="154"/>
      <c r="D490" s="154"/>
      <c r="E490" s="194"/>
      <c r="F490" s="139"/>
      <c r="G490" s="334"/>
      <c r="H490" s="347"/>
      <c r="I490" s="139"/>
      <c r="J490" s="139"/>
      <c r="K490" s="345"/>
      <c r="L490" s="345"/>
      <c r="M490" s="139"/>
      <c r="N490" s="264"/>
      <c r="O490" s="157"/>
      <c r="P490" s="139"/>
      <c r="Q490" s="139"/>
      <c r="R490" s="140"/>
      <c r="S490" s="140"/>
      <c r="T490" s="140"/>
      <c r="U490" s="258"/>
      <c r="V490" s="263"/>
      <c r="W490" s="139"/>
      <c r="X490" s="139"/>
      <c r="Y490" s="139"/>
      <c r="Z490" s="139"/>
    </row>
    <row r="491" spans="1:26" s="355" customFormat="1" ht="13.2">
      <c r="A491" s="194"/>
      <c r="B491" s="139"/>
      <c r="C491" s="154"/>
      <c r="D491" s="154"/>
      <c r="E491" s="194"/>
      <c r="F491" s="139"/>
      <c r="G491" s="334"/>
      <c r="H491" s="347"/>
      <c r="I491" s="139"/>
      <c r="J491" s="139"/>
      <c r="K491" s="345"/>
      <c r="L491" s="345"/>
      <c r="M491" s="139"/>
      <c r="N491" s="264"/>
      <c r="O491" s="157"/>
      <c r="P491" s="139"/>
      <c r="Q491" s="139"/>
      <c r="R491" s="140"/>
      <c r="S491" s="140"/>
      <c r="T491" s="140"/>
      <c r="U491" s="258"/>
      <c r="V491" s="263"/>
      <c r="W491" s="139"/>
      <c r="X491" s="139"/>
      <c r="Y491" s="139"/>
      <c r="Z491" s="139"/>
    </row>
    <row r="492" spans="1:26" s="498" customFormat="1" ht="13.2">
      <c r="A492" s="194"/>
      <c r="B492" s="194"/>
      <c r="C492" s="194"/>
      <c r="D492" s="194"/>
      <c r="E492" s="194"/>
      <c r="F492" s="194"/>
      <c r="G492" s="334"/>
      <c r="H492" s="347"/>
      <c r="I492" s="194"/>
      <c r="J492" s="194"/>
      <c r="K492" s="194"/>
      <c r="L492" s="194"/>
      <c r="M492" s="194"/>
      <c r="N492" s="194"/>
      <c r="O492" s="194"/>
      <c r="P492" s="194"/>
      <c r="Q492" s="194"/>
      <c r="R492" s="334"/>
      <c r="S492" s="334"/>
      <c r="T492" s="334"/>
      <c r="U492" s="571"/>
      <c r="V492" s="348">
        <f>U474/2</f>
        <v>0</v>
      </c>
      <c r="W492" s="194"/>
      <c r="X492" s="194"/>
      <c r="Y492" s="194"/>
      <c r="Z492" s="194"/>
    </row>
    <row r="493" spans="1:26" s="115" customFormat="1" ht="13.2">
      <c r="A493" s="136" t="s">
        <v>1576</v>
      </c>
      <c r="B493" s="522">
        <f>SUM(O464:O493)</f>
        <v>0</v>
      </c>
      <c r="C493" s="289" t="e">
        <f>B493/B451</f>
        <v>#DIV/0!</v>
      </c>
      <c r="D493" s="141" t="s">
        <v>574</v>
      </c>
      <c r="E493" s="194"/>
      <c r="F493" s="136"/>
      <c r="G493" s="138"/>
      <c r="H493" s="264"/>
      <c r="I493" s="136"/>
      <c r="J493" s="136"/>
      <c r="K493" s="136"/>
      <c r="L493" s="136"/>
      <c r="M493" s="136"/>
      <c r="N493" s="136"/>
      <c r="O493" s="161"/>
      <c r="P493" s="136"/>
      <c r="Q493" s="139"/>
      <c r="R493" s="140"/>
      <c r="S493" s="138"/>
      <c r="T493" s="138"/>
      <c r="U493" s="587"/>
      <c r="V493" s="139"/>
      <c r="W493" s="139"/>
      <c r="X493" s="139"/>
      <c r="Y493" s="139"/>
      <c r="Z493" s="139"/>
    </row>
    <row r="494" spans="1:26" s="115" customFormat="1" ht="13.2">
      <c r="A494" s="136" t="s">
        <v>463</v>
      </c>
      <c r="B494" s="536">
        <f>SUM(R464:R493)</f>
        <v>0</v>
      </c>
      <c r="C494" s="544" t="e">
        <f>B493/B494</f>
        <v>#DIV/0!</v>
      </c>
      <c r="D494" s="512" t="s">
        <v>575</v>
      </c>
      <c r="E494" s="139"/>
      <c r="F494" s="136"/>
      <c r="G494" s="138"/>
      <c r="H494" s="194"/>
      <c r="I494" s="136"/>
      <c r="J494" s="136"/>
      <c r="K494" s="136"/>
      <c r="L494" s="136">
        <f>(3*3*7+1990)-((3*3*7+1990)/4)</f>
        <v>1539.75</v>
      </c>
      <c r="M494" s="136"/>
      <c r="N494" s="136"/>
      <c r="O494" s="161"/>
      <c r="P494" s="136"/>
      <c r="Q494" s="139"/>
      <c r="R494" s="140"/>
      <c r="S494" s="138"/>
      <c r="T494" s="138"/>
      <c r="U494" s="587"/>
      <c r="V494" s="139"/>
      <c r="W494" s="139"/>
      <c r="X494" s="139"/>
      <c r="Y494" s="139"/>
      <c r="Z494" s="139"/>
    </row>
    <row r="495" spans="1:26" s="355" customFormat="1" ht="12">
      <c r="A495" s="136"/>
      <c r="B495" s="136"/>
      <c r="C495" s="137"/>
      <c r="D495" s="512" t="s">
        <v>576</v>
      </c>
      <c r="E495" s="139"/>
      <c r="F495" s="136"/>
      <c r="G495" s="138"/>
      <c r="H495" s="347"/>
      <c r="I495" s="136"/>
      <c r="J495" s="136"/>
      <c r="K495" s="139"/>
      <c r="L495" s="136"/>
      <c r="M495" s="136"/>
      <c r="N495" s="136"/>
      <c r="O495" s="161">
        <f>O485-U485+3*14</f>
        <v>42</v>
      </c>
      <c r="P495" s="136"/>
      <c r="Q495" s="139"/>
      <c r="R495" s="140"/>
      <c r="S495" s="138"/>
      <c r="T495" s="138"/>
      <c r="U495" s="186"/>
      <c r="V495" s="139"/>
      <c r="W495" s="139"/>
      <c r="X495" s="139"/>
      <c r="Y495" s="139"/>
      <c r="Z495" s="139"/>
    </row>
    <row r="496" spans="1:26" s="451" customFormat="1" ht="12">
      <c r="A496" s="136" t="s">
        <v>464</v>
      </c>
      <c r="B496" s="537">
        <f>537.56*12</f>
        <v>6450.7199999999993</v>
      </c>
      <c r="C496" s="137"/>
      <c r="D496" s="512" t="s">
        <v>1304</v>
      </c>
      <c r="E496" s="139"/>
      <c r="F496" s="136"/>
      <c r="G496" s="138"/>
      <c r="H496" s="347"/>
      <c r="I496" s="136"/>
      <c r="J496" s="136"/>
      <c r="K496" s="139"/>
      <c r="L496" s="136"/>
      <c r="M496" s="136"/>
      <c r="N496" s="136"/>
      <c r="O496" s="161"/>
      <c r="P496" s="136"/>
      <c r="Q496" s="139"/>
      <c r="R496" s="140"/>
      <c r="S496" s="138"/>
      <c r="T496" s="138"/>
      <c r="U496" s="136"/>
      <c r="V496" s="139"/>
      <c r="W496" s="139"/>
      <c r="X496" s="139"/>
      <c r="Y496" s="139"/>
      <c r="Z496" s="139"/>
    </row>
    <row r="497" spans="1:26" s="372" customFormat="1" ht="12">
      <c r="A497" s="136" t="s">
        <v>574</v>
      </c>
      <c r="B497" s="523">
        <f>E499</f>
        <v>6962.6399999999976</v>
      </c>
      <c r="C497" s="137"/>
      <c r="D497" s="512" t="s">
        <v>577</v>
      </c>
      <c r="E497" s="139"/>
      <c r="F497" s="136"/>
      <c r="G497" s="138"/>
      <c r="H497" s="347"/>
      <c r="I497" s="136"/>
      <c r="J497" s="136"/>
      <c r="K497" s="139"/>
      <c r="L497" s="136"/>
      <c r="M497" s="136"/>
      <c r="N497" s="136"/>
      <c r="O497" s="161"/>
      <c r="P497" s="136"/>
      <c r="Q497" s="139"/>
      <c r="R497" s="140"/>
      <c r="S497" s="138"/>
      <c r="T497" s="138"/>
      <c r="U497" s="186"/>
      <c r="V497" s="139"/>
      <c r="W497" s="139"/>
      <c r="X497" s="139"/>
      <c r="Y497" s="139"/>
      <c r="Z497" s="139"/>
    </row>
    <row r="498" spans="1:26" s="8" customFormat="1" ht="12">
      <c r="A498" s="136" t="s">
        <v>1534</v>
      </c>
      <c r="B498" s="161">
        <f>B493-B496-B497</f>
        <v>-13413.359999999997</v>
      </c>
      <c r="C498" s="137"/>
      <c r="D498" s="512" t="s">
        <v>578</v>
      </c>
      <c r="E498" s="139"/>
      <c r="F498" s="136"/>
      <c r="G498" s="138"/>
      <c r="H498" s="347"/>
      <c r="I498" s="136"/>
      <c r="J498" s="136"/>
      <c r="K498" s="139"/>
      <c r="L498" s="161"/>
      <c r="M498" s="136"/>
      <c r="N498" s="136"/>
      <c r="O498" s="161"/>
      <c r="P498" s="136"/>
      <c r="Q498" s="139"/>
      <c r="R498" s="140"/>
      <c r="S498" s="138"/>
      <c r="T498" s="138"/>
      <c r="U498" s="186"/>
      <c r="V498" s="139"/>
      <c r="W498" s="139"/>
      <c r="X498" s="139"/>
      <c r="Y498" s="139"/>
      <c r="Z498" s="139"/>
    </row>
    <row r="499" spans="1:26" s="8" customFormat="1">
      <c r="A499" s="136" t="s">
        <v>466</v>
      </c>
      <c r="B499" s="161">
        <f>B498/12</f>
        <v>-1117.7799999999997</v>
      </c>
      <c r="C499" s="137"/>
      <c r="D499" s="235" t="s">
        <v>585</v>
      </c>
      <c r="E499" s="573">
        <v>6962.6399999999976</v>
      </c>
      <c r="F499" s="136"/>
      <c r="G499" s="138"/>
      <c r="H499" s="136"/>
      <c r="I499" s="136"/>
      <c r="J499" s="136"/>
      <c r="K499" s="139"/>
      <c r="L499" s="136"/>
      <c r="M499" s="136"/>
      <c r="N499" s="136"/>
      <c r="O499" s="161"/>
      <c r="P499" s="136"/>
      <c r="Q499" s="139"/>
      <c r="R499" s="140"/>
      <c r="S499" s="138"/>
      <c r="T499" s="138"/>
      <c r="U499" s="136"/>
      <c r="V499" s="139"/>
      <c r="W499" s="139"/>
      <c r="X499" s="139"/>
      <c r="Y499" s="139"/>
      <c r="Z499" s="139"/>
    </row>
    <row r="500" spans="1:26" s="8" customFormat="1">
      <c r="A500" s="139"/>
      <c r="B500" s="139"/>
      <c r="C500" s="154"/>
      <c r="D500" s="154"/>
      <c r="E500" s="139"/>
      <c r="F500" s="139"/>
      <c r="G500" s="140"/>
      <c r="H500" s="139"/>
      <c r="I500" s="139"/>
      <c r="J500" s="139"/>
      <c r="K500" s="139"/>
      <c r="L500" s="139"/>
      <c r="M500" s="139"/>
      <c r="N500" s="139"/>
      <c r="O500" s="139"/>
      <c r="P500" s="139"/>
      <c r="Q500" s="139"/>
      <c r="R500" s="140"/>
      <c r="S500" s="140"/>
      <c r="T500" s="140"/>
      <c r="U500" s="139"/>
      <c r="V500" s="139"/>
      <c r="W500" s="139"/>
      <c r="X500" s="139"/>
      <c r="Y500" s="139"/>
      <c r="Z500" s="139"/>
    </row>
    <row r="501" spans="1:26">
      <c r="C501" s="349"/>
      <c r="D501" s="349"/>
      <c r="K501" s="350"/>
      <c r="N501" s="156"/>
      <c r="O501" s="351"/>
      <c r="U501" s="185"/>
    </row>
    <row r="502" spans="1:26" s="194" customFormat="1" ht="13.8" thickBot="1">
      <c r="A502" s="139"/>
      <c r="B502" s="139"/>
      <c r="C502" s="349"/>
      <c r="D502" s="349"/>
      <c r="E502" s="139"/>
      <c r="F502" s="139"/>
      <c r="G502" s="140"/>
      <c r="H502" s="139"/>
      <c r="I502" s="139"/>
      <c r="J502" s="139"/>
      <c r="K502" s="350"/>
      <c r="L502" s="139"/>
      <c r="M502" s="139"/>
      <c r="N502" s="156"/>
      <c r="O502" s="351"/>
      <c r="P502" s="139"/>
      <c r="Q502" s="139"/>
      <c r="R502" s="140"/>
      <c r="S502" s="140"/>
      <c r="T502" s="140"/>
      <c r="U502" s="139"/>
      <c r="V502" s="139"/>
      <c r="W502" s="139"/>
      <c r="X502" s="139"/>
      <c r="Y502" s="139"/>
      <c r="Z502" s="139"/>
    </row>
    <row r="503" spans="1:26" ht="13.8" thickBot="1">
      <c r="A503" s="195" t="s">
        <v>1762</v>
      </c>
      <c r="B503" s="525"/>
      <c r="C503" s="335"/>
      <c r="D503" s="506"/>
      <c r="E503" s="525"/>
      <c r="F503" s="335"/>
      <c r="G503" s="336"/>
      <c r="H503" s="335"/>
      <c r="I503" s="335"/>
      <c r="J503" s="335"/>
      <c r="K503" s="335"/>
      <c r="L503" s="335"/>
      <c r="M503" s="335"/>
      <c r="N503" s="335"/>
      <c r="O503" s="335"/>
      <c r="P503" s="335"/>
      <c r="Q503" s="335"/>
      <c r="R503" s="336"/>
      <c r="S503" s="336"/>
      <c r="T503" s="336"/>
      <c r="U503" s="337"/>
      <c r="V503" s="335"/>
      <c r="W503" s="335"/>
      <c r="X503" s="335"/>
      <c r="Y503" s="335"/>
      <c r="Z503" s="335"/>
    </row>
    <row r="504" spans="1:26" ht="13.8" thickBot="1">
      <c r="A504" s="515"/>
      <c r="B504" s="575"/>
      <c r="C504" s="646"/>
      <c r="D504" s="513"/>
      <c r="E504" s="571"/>
      <c r="F504" s="194"/>
      <c r="G504" s="334"/>
      <c r="H504" s="347"/>
      <c r="I504" s="194"/>
      <c r="J504" s="194"/>
      <c r="K504" s="194"/>
      <c r="L504" s="194"/>
      <c r="M504" s="194"/>
      <c r="N504" s="194"/>
      <c r="O504" s="194"/>
      <c r="P504" s="194"/>
      <c r="Q504" s="194"/>
      <c r="R504" s="334"/>
      <c r="S504" s="334"/>
      <c r="T504" s="334"/>
      <c r="U504" s="194"/>
      <c r="V504" s="348"/>
      <c r="W504" s="194"/>
      <c r="X504" s="194"/>
      <c r="Y504" s="194"/>
      <c r="Z504" s="194"/>
    </row>
    <row r="505" spans="1:26" ht="13.8" thickBot="1">
      <c r="A505" s="136" t="s">
        <v>1763</v>
      </c>
      <c r="B505" s="522">
        <f>SUM(O481:O503)</f>
        <v>42</v>
      </c>
      <c r="C505" s="289" t="e">
        <f>B505/B470</f>
        <v>#DIV/0!</v>
      </c>
      <c r="D505" s="619" t="s">
        <v>574</v>
      </c>
      <c r="E505" s="571"/>
      <c r="F505" s="136"/>
      <c r="G505" s="138"/>
      <c r="H505" s="264"/>
      <c r="I505" s="136"/>
      <c r="J505" s="136"/>
      <c r="K505" s="136"/>
      <c r="L505" s="354"/>
      <c r="M505" s="136"/>
      <c r="N505" s="136"/>
      <c r="O505" s="161"/>
      <c r="P505" s="136"/>
      <c r="S505" s="138"/>
      <c r="T505" s="138"/>
      <c r="U505" s="235"/>
    </row>
    <row r="506" spans="1:26" ht="13.8" thickBot="1">
      <c r="A506" s="159" t="s">
        <v>463</v>
      </c>
      <c r="B506" s="638">
        <f>SUM(R481:R504)</f>
        <v>0</v>
      </c>
      <c r="C506" s="544" t="e">
        <f>B505/B506</f>
        <v>#DIV/0!</v>
      </c>
      <c r="D506" s="184" t="s">
        <v>575</v>
      </c>
      <c r="E506" s="185"/>
      <c r="F506" s="136"/>
      <c r="G506" s="138"/>
      <c r="H506" s="194"/>
      <c r="I506" s="136"/>
      <c r="J506" s="136"/>
      <c r="K506" s="347"/>
      <c r="M506" s="136"/>
      <c r="O506" s="161"/>
      <c r="P506" s="136"/>
      <c r="S506" s="138"/>
      <c r="T506" s="138"/>
      <c r="U506" s="235"/>
    </row>
    <row r="507" spans="1:26" ht="12.6" thickBot="1">
      <c r="A507" s="332"/>
      <c r="B507" s="526"/>
      <c r="C507" s="137"/>
      <c r="D507" s="184" t="s">
        <v>576</v>
      </c>
      <c r="E507" s="185"/>
      <c r="F507" s="136"/>
      <c r="G507" s="138"/>
      <c r="H507" s="347"/>
      <c r="I507" s="136"/>
      <c r="J507" s="136"/>
      <c r="K507" s="347"/>
      <c r="L507" s="369"/>
      <c r="M507" s="136"/>
      <c r="O507" s="161"/>
      <c r="P507" s="136"/>
      <c r="S507" s="138"/>
      <c r="T507" s="138"/>
      <c r="U507" s="136"/>
    </row>
    <row r="508" spans="1:26" ht="12.6" thickBot="1">
      <c r="A508" s="187" t="s">
        <v>464</v>
      </c>
      <c r="B508" s="632">
        <f>537.56*2</f>
        <v>1075.1199999999999</v>
      </c>
      <c r="C508" s="137"/>
      <c r="D508" s="189" t="s">
        <v>1304</v>
      </c>
      <c r="E508" s="190"/>
      <c r="F508" s="136"/>
      <c r="G508" s="138"/>
      <c r="H508" s="347"/>
      <c r="I508" s="136"/>
      <c r="J508" s="136"/>
      <c r="K508" s="347"/>
      <c r="L508" s="347"/>
      <c r="M508" s="136"/>
      <c r="O508" s="403">
        <f>O490-670</f>
        <v>-670</v>
      </c>
      <c r="P508" s="136"/>
      <c r="S508" s="138"/>
      <c r="T508" s="138"/>
      <c r="U508" s="136"/>
    </row>
    <row r="509" spans="1:26" ht="16.2" thickBot="1">
      <c r="A509" s="160" t="s">
        <v>574</v>
      </c>
      <c r="B509" s="640">
        <f>E511</f>
        <v>6962.6399999999976</v>
      </c>
      <c r="C509" s="137"/>
      <c r="D509" s="189" t="s">
        <v>577</v>
      </c>
      <c r="E509" s="190"/>
      <c r="F509" s="136"/>
      <c r="G509" s="138"/>
      <c r="H509" s="347"/>
      <c r="I509" s="136"/>
      <c r="J509" s="136"/>
      <c r="K509" s="2"/>
      <c r="L509" s="2"/>
      <c r="M509" s="136"/>
      <c r="N509" s="366"/>
      <c r="O509" s="161"/>
      <c r="P509" s="136"/>
      <c r="S509" s="138"/>
      <c r="T509" s="138"/>
      <c r="U509" s="136"/>
    </row>
    <row r="510" spans="1:26" ht="13.2">
      <c r="A510" s="187" t="s">
        <v>1534</v>
      </c>
      <c r="B510" s="161">
        <f>B505-B508-B509</f>
        <v>-7995.7599999999975</v>
      </c>
      <c r="C510" s="137"/>
      <c r="D510" s="512" t="s">
        <v>578</v>
      </c>
      <c r="F510" s="136"/>
      <c r="G510" s="138"/>
      <c r="H510" s="347"/>
      <c r="I510" s="136"/>
      <c r="J510" s="136"/>
      <c r="K510"/>
      <c r="L510"/>
      <c r="M510" s="136"/>
      <c r="N510" s="136"/>
      <c r="O510" s="161"/>
      <c r="P510" s="136"/>
      <c r="S510" s="138"/>
      <c r="T510" s="138"/>
      <c r="U510" s="136"/>
    </row>
    <row r="511" spans="1:26" ht="12">
      <c r="A511" s="187" t="s">
        <v>466</v>
      </c>
      <c r="B511" s="161">
        <f>B510/12</f>
        <v>-666.31333333333316</v>
      </c>
      <c r="C511" s="137"/>
      <c r="D511" s="235" t="s">
        <v>585</v>
      </c>
      <c r="E511" s="573">
        <v>6962.6399999999976</v>
      </c>
      <c r="F511" s="136"/>
      <c r="G511" s="138"/>
      <c r="H511" s="136"/>
      <c r="I511" s="136"/>
      <c r="J511" s="136"/>
      <c r="K511" s="347"/>
      <c r="L511" s="347"/>
      <c r="M511" s="136"/>
      <c r="N511" s="136"/>
      <c r="O511" s="161"/>
      <c r="P511" s="136"/>
      <c r="S511" s="138"/>
      <c r="T511" s="138"/>
      <c r="U511" s="136"/>
    </row>
    <row r="512" spans="1:26" ht="12">
      <c r="A512" s="153"/>
      <c r="K512" s="347"/>
      <c r="L512" s="347"/>
    </row>
    <row r="513" spans="1:26" ht="12">
      <c r="A513" s="153"/>
      <c r="C513" s="349"/>
      <c r="D513" s="349"/>
      <c r="K513" s="347"/>
      <c r="L513" s="347"/>
      <c r="N513" s="156"/>
      <c r="O513" s="351"/>
    </row>
    <row r="514" spans="1:26" ht="12">
      <c r="A514" s="153"/>
      <c r="C514" s="349"/>
      <c r="D514" s="349"/>
      <c r="K514" s="347"/>
      <c r="L514" s="347"/>
      <c r="N514" s="450"/>
      <c r="O514" s="351"/>
    </row>
    <row r="515" spans="1:26" ht="13.2">
      <c r="A515" s="624" t="s">
        <v>1936</v>
      </c>
      <c r="B515" s="335"/>
      <c r="C515" s="335"/>
      <c r="D515" s="335"/>
      <c r="E515" s="335"/>
      <c r="F515" s="335"/>
      <c r="G515" s="336"/>
      <c r="H515" s="335"/>
      <c r="I515" s="335"/>
      <c r="J515" s="335"/>
      <c r="K515" s="335"/>
      <c r="L515" s="335"/>
      <c r="M515" s="335"/>
      <c r="N515" s="335"/>
      <c r="O515" s="335"/>
      <c r="P515" s="335"/>
      <c r="Q515" s="335"/>
      <c r="R515" s="336"/>
      <c r="S515" s="336"/>
      <c r="T515" s="336"/>
      <c r="U515" s="337"/>
      <c r="V515" s="335"/>
      <c r="W515" s="335"/>
      <c r="X515" s="335"/>
      <c r="Y515" s="335"/>
      <c r="Z515" s="335"/>
    </row>
    <row r="516" spans="1:26" ht="13.2">
      <c r="A516" s="153"/>
      <c r="N516" s="264"/>
      <c r="O516" s="157"/>
      <c r="Q516" s="8"/>
      <c r="U516" s="595"/>
      <c r="V516" s="263"/>
    </row>
    <row r="517" spans="1:26">
      <c r="A517" s="10"/>
      <c r="B517" s="8"/>
      <c r="C517" s="31"/>
      <c r="D517" s="31"/>
      <c r="E517" s="8"/>
      <c r="F517" s="8"/>
      <c r="G517" s="132"/>
      <c r="H517" s="8"/>
      <c r="I517" s="8"/>
      <c r="J517" s="8"/>
      <c r="K517" s="8"/>
      <c r="L517" s="8"/>
      <c r="M517" s="8"/>
      <c r="N517" s="49"/>
      <c r="O517" s="12"/>
      <c r="P517" s="8"/>
      <c r="Q517" s="8"/>
      <c r="R517" s="132"/>
      <c r="S517" s="132"/>
      <c r="T517" s="132"/>
      <c r="U517" s="603"/>
      <c r="V517" s="8"/>
      <c r="W517" s="8"/>
      <c r="X517" s="8"/>
      <c r="Y517" s="8"/>
      <c r="Z517" s="8"/>
    </row>
    <row r="518" spans="1:26">
      <c r="A518" s="10"/>
      <c r="B518" s="8"/>
      <c r="C518" s="31"/>
      <c r="D518" s="31"/>
      <c r="E518" s="8"/>
      <c r="F518" s="8"/>
      <c r="G518" s="132"/>
      <c r="H518" s="8"/>
      <c r="I518" s="8"/>
      <c r="J518" s="8"/>
      <c r="K518" s="8"/>
      <c r="L518" s="8"/>
      <c r="M518" s="8"/>
      <c r="N518" s="49"/>
      <c r="O518" s="12"/>
      <c r="P518" s="8"/>
      <c r="Q518" s="8"/>
      <c r="R518" s="132"/>
      <c r="S518" s="132"/>
      <c r="T518" s="132"/>
      <c r="U518" s="603"/>
      <c r="V518" s="8"/>
      <c r="W518" s="8"/>
      <c r="X518" s="8"/>
      <c r="Y518" s="8"/>
      <c r="Z518" s="8"/>
    </row>
    <row r="519" spans="1:26">
      <c r="A519" s="509"/>
      <c r="B519" s="355"/>
      <c r="C519" s="357"/>
      <c r="D519" s="357"/>
      <c r="E519" s="355"/>
      <c r="F519" s="355"/>
      <c r="G519" s="358"/>
      <c r="H519" s="355"/>
      <c r="I519" s="355"/>
      <c r="J519" s="355"/>
      <c r="K519" s="355"/>
      <c r="L519" s="355"/>
      <c r="M519" s="355"/>
      <c r="N519" s="365"/>
      <c r="O519" s="359"/>
      <c r="P519" s="355"/>
      <c r="Q519" s="355"/>
      <c r="R519" s="358"/>
      <c r="S519" s="358"/>
      <c r="T519" s="358"/>
      <c r="U519" s="478"/>
      <c r="V519" s="355"/>
      <c r="W519" s="355"/>
      <c r="X519" s="355"/>
      <c r="Y519" s="355"/>
      <c r="Z519" s="355"/>
    </row>
    <row r="520" spans="1:26" ht="13.2">
      <c r="A520" s="629"/>
      <c r="B520" s="451"/>
      <c r="C520" s="452"/>
      <c r="D520" s="452"/>
      <c r="E520" s="451"/>
      <c r="F520" s="451"/>
      <c r="G520" s="453"/>
      <c r="H520" s="474"/>
      <c r="I520" s="451"/>
      <c r="J520" s="451"/>
      <c r="K520" s="475"/>
      <c r="L520" s="475"/>
      <c r="M520" s="451"/>
      <c r="N520" s="454"/>
      <c r="O520" s="455"/>
      <c r="P520" s="451"/>
      <c r="Q520" s="451"/>
      <c r="R520" s="453"/>
      <c r="S520" s="453"/>
      <c r="T520" s="453"/>
      <c r="U520" s="473"/>
      <c r="V520" s="456"/>
      <c r="W520" s="451"/>
      <c r="X520" s="451"/>
      <c r="Y520" s="451"/>
      <c r="Z520" s="451"/>
    </row>
    <row r="521" spans="1:26" ht="13.2">
      <c r="A521" s="628"/>
      <c r="B521" s="372"/>
      <c r="C521" s="373"/>
      <c r="D521" s="373"/>
      <c r="E521" s="372"/>
      <c r="F521" s="372"/>
      <c r="G521" s="374"/>
      <c r="H521" s="372"/>
      <c r="I521" s="372"/>
      <c r="J521" s="372"/>
      <c r="K521" s="372"/>
      <c r="L521" s="372"/>
      <c r="M521" s="372"/>
      <c r="N521" s="375"/>
      <c r="O521" s="376"/>
      <c r="P521" s="372"/>
      <c r="Q521" s="355"/>
      <c r="R521" s="374"/>
      <c r="S521" s="374"/>
      <c r="T521" s="374"/>
      <c r="U521" s="478"/>
      <c r="V521" s="372"/>
      <c r="W521" s="355"/>
      <c r="X521" s="355"/>
      <c r="Y521" s="372"/>
      <c r="Z521" s="372"/>
    </row>
    <row r="522" spans="1:26" s="335" customFormat="1" ht="13.2">
      <c r="A522" s="8"/>
      <c r="B522" s="8"/>
      <c r="C522" s="31"/>
      <c r="D522" s="31"/>
      <c r="E522" s="8"/>
      <c r="F522" s="8"/>
      <c r="G522" s="132"/>
      <c r="H522" s="404"/>
      <c r="I522" s="457"/>
      <c r="J522" s="457"/>
      <c r="K522" s="457"/>
      <c r="L522" s="457"/>
      <c r="M522" s="457"/>
      <c r="N522" s="462"/>
      <c r="O522" s="463"/>
      <c r="P522" s="8"/>
      <c r="Q522" s="8"/>
      <c r="R522" s="132"/>
      <c r="S522" s="132"/>
      <c r="T522" s="132"/>
      <c r="U522" s="603"/>
      <c r="V522" s="86"/>
      <c r="W522" s="8"/>
      <c r="X522" s="8"/>
      <c r="Y522" s="8"/>
      <c r="Z522" s="8"/>
    </row>
    <row r="523" spans="1:26" ht="13.2">
      <c r="A523" s="8"/>
      <c r="B523" s="8"/>
      <c r="C523" s="31"/>
      <c r="D523" s="31"/>
      <c r="E523" s="8"/>
      <c r="F523" s="8"/>
      <c r="G523" s="132"/>
      <c r="H523" s="7"/>
      <c r="I523" s="457"/>
      <c r="J523" s="457"/>
      <c r="K523" s="457"/>
      <c r="L523" s="457"/>
      <c r="M523" s="457"/>
      <c r="N523" s="464"/>
      <c r="O523" s="463"/>
      <c r="P523" s="8"/>
      <c r="Q523" s="8"/>
      <c r="R523" s="132"/>
      <c r="S523" s="132"/>
      <c r="T523" s="132"/>
      <c r="U523" s="126"/>
      <c r="V523" s="86"/>
      <c r="W523" s="8"/>
      <c r="X523" s="8"/>
      <c r="Y523" s="8"/>
      <c r="Z523" s="8"/>
    </row>
    <row r="524" spans="1:26" s="115" customFormat="1" ht="13.2">
      <c r="A524" s="8"/>
      <c r="B524" s="8"/>
      <c r="C524" s="31"/>
      <c r="D524" s="31"/>
      <c r="E524" s="8"/>
      <c r="F524" s="8"/>
      <c r="G524" s="132"/>
      <c r="H524" s="7"/>
      <c r="I524" s="457"/>
      <c r="J524" s="457"/>
      <c r="K524" s="457"/>
      <c r="L524" s="457"/>
      <c r="M524" s="457"/>
      <c r="N524" s="465"/>
      <c r="O524" s="463"/>
      <c r="P524" s="8"/>
      <c r="Q524" s="8"/>
      <c r="R524" s="132"/>
      <c r="S524" s="132"/>
      <c r="T524" s="132"/>
      <c r="U524" s="126"/>
      <c r="V524" s="86"/>
      <c r="W524" s="8"/>
      <c r="X524" s="8"/>
      <c r="Y524" s="8"/>
      <c r="Z524" s="8"/>
    </row>
    <row r="525" spans="1:26" s="115" customFormat="1" ht="13.2">
      <c r="A525" s="139"/>
      <c r="B525" s="139"/>
      <c r="C525" s="154"/>
      <c r="D525" s="154"/>
      <c r="E525" s="139"/>
      <c r="F525" s="139"/>
      <c r="G525" s="140"/>
      <c r="H525" s="139"/>
      <c r="I525" s="458"/>
      <c r="J525" s="458"/>
      <c r="K525" s="458"/>
      <c r="L525" s="458"/>
      <c r="M525" s="458"/>
      <c r="N525" s="466"/>
      <c r="O525" s="467"/>
      <c r="P525" s="139"/>
      <c r="Q525" s="139"/>
      <c r="R525" s="140"/>
      <c r="S525" s="140"/>
      <c r="T525" s="140"/>
      <c r="U525" s="603"/>
      <c r="V525" s="139"/>
      <c r="W525" s="139"/>
      <c r="X525" s="8"/>
      <c r="Y525" s="139"/>
      <c r="Z525" s="139"/>
    </row>
    <row r="526" spans="1:26" s="115" customFormat="1" ht="13.2">
      <c r="A526" s="194"/>
      <c r="B526" s="194"/>
      <c r="C526" s="194"/>
      <c r="D526" s="194"/>
      <c r="E526" s="194"/>
      <c r="F526" s="194"/>
      <c r="G526" s="334"/>
      <c r="H526" s="347"/>
      <c r="I526" s="459"/>
      <c r="J526" s="459"/>
      <c r="K526" s="459"/>
      <c r="L526" s="459"/>
      <c r="M526" s="459"/>
      <c r="N526" s="459"/>
      <c r="O526" s="459"/>
      <c r="P526" s="194"/>
      <c r="Q526" s="194"/>
      <c r="R526" s="334"/>
      <c r="S526" s="334"/>
      <c r="T526" s="334"/>
      <c r="U526" s="194"/>
      <c r="V526" s="348"/>
      <c r="W526" s="194"/>
      <c r="X526" s="194"/>
      <c r="Y526" s="194"/>
      <c r="Z526" s="194"/>
    </row>
    <row r="527" spans="1:26" s="115" customFormat="1" ht="13.2">
      <c r="A527" s="7"/>
      <c r="B527" s="522"/>
      <c r="C527" s="289"/>
      <c r="D527" s="141"/>
      <c r="E527" s="194"/>
      <c r="F527" s="136"/>
      <c r="G527" s="138"/>
      <c r="H527" s="264"/>
      <c r="I527" s="468"/>
      <c r="J527" s="468"/>
      <c r="K527" s="468"/>
      <c r="L527" s="460"/>
      <c r="M527" s="468"/>
      <c r="N527" s="468"/>
      <c r="O527" s="468"/>
      <c r="P527" s="136"/>
      <c r="Q527" s="139"/>
      <c r="R527" s="140"/>
      <c r="S527" s="138"/>
      <c r="T527" s="138"/>
      <c r="U527" s="235"/>
      <c r="V527" s="139"/>
      <c r="W527" s="139"/>
      <c r="X527" s="139"/>
      <c r="Y527" s="139"/>
      <c r="Z527" s="139"/>
    </row>
    <row r="528" spans="1:26" s="8" customFormat="1" ht="13.2">
      <c r="A528" s="136"/>
      <c r="B528" s="527"/>
      <c r="C528" s="544"/>
      <c r="D528" s="512"/>
      <c r="E528" s="139"/>
      <c r="F528" s="136"/>
      <c r="G528" s="138"/>
      <c r="H528" s="194"/>
      <c r="I528" s="468"/>
      <c r="J528" s="468"/>
      <c r="K528" s="469"/>
      <c r="L528" s="458"/>
      <c r="M528" s="468"/>
      <c r="N528" s="458"/>
      <c r="O528" s="468"/>
      <c r="P528" s="136"/>
      <c r="Q528" s="139"/>
      <c r="R528" s="140"/>
      <c r="S528" s="138"/>
      <c r="T528" s="138"/>
      <c r="U528" s="235"/>
      <c r="V528" s="139"/>
      <c r="W528" s="139"/>
      <c r="X528" s="139"/>
      <c r="Y528" s="139"/>
      <c r="Z528" s="139"/>
    </row>
    <row r="529" spans="1:26" s="440" customFormat="1" ht="12">
      <c r="A529" s="136"/>
      <c r="B529" s="136"/>
      <c r="C529" s="137"/>
      <c r="D529" s="512"/>
      <c r="E529" s="139"/>
      <c r="F529" s="136"/>
      <c r="G529" s="138"/>
      <c r="H529" s="347"/>
      <c r="I529" s="468"/>
      <c r="J529" s="468"/>
      <c r="K529" s="469"/>
      <c r="L529" s="461"/>
      <c r="M529" s="468"/>
      <c r="N529" s="458"/>
      <c r="O529" s="468"/>
      <c r="P529" s="136"/>
      <c r="Q529" s="139"/>
      <c r="R529" s="140"/>
      <c r="S529" s="138"/>
      <c r="T529" s="138"/>
      <c r="U529" s="136"/>
      <c r="V529" s="139"/>
      <c r="W529" s="139"/>
      <c r="X529" s="139"/>
      <c r="Y529" s="139"/>
      <c r="Z529" s="139"/>
    </row>
    <row r="530" spans="1:26" s="115" customFormat="1" ht="12">
      <c r="A530" s="136"/>
      <c r="B530" s="537"/>
      <c r="C530" s="137"/>
      <c r="D530" s="512"/>
      <c r="E530" s="139"/>
      <c r="F530" s="136"/>
      <c r="G530" s="138"/>
      <c r="H530" s="347"/>
      <c r="I530" s="468"/>
      <c r="J530" s="468"/>
      <c r="K530" s="469"/>
      <c r="L530" s="469"/>
      <c r="M530" s="468"/>
      <c r="N530" s="458"/>
      <c r="O530" s="458"/>
      <c r="P530" s="136"/>
      <c r="Q530" s="139"/>
      <c r="R530" s="140"/>
      <c r="S530" s="138"/>
      <c r="T530" s="138"/>
      <c r="U530" s="136"/>
      <c r="V530" s="139"/>
      <c r="W530" s="139"/>
      <c r="X530" s="139"/>
      <c r="Y530" s="139"/>
      <c r="Z530" s="139"/>
    </row>
    <row r="531" spans="1:26" s="8" customFormat="1" ht="15.6">
      <c r="A531" s="136"/>
      <c r="B531" s="523"/>
      <c r="C531" s="137"/>
      <c r="D531" s="512"/>
      <c r="E531" s="139"/>
      <c r="F531" s="136"/>
      <c r="G531" s="138"/>
      <c r="H531" s="347"/>
      <c r="I531" s="136"/>
      <c r="J531" s="136"/>
      <c r="K531" s="2"/>
      <c r="L531" s="2"/>
      <c r="M531" s="136"/>
      <c r="N531" s="366"/>
      <c r="O531" s="161"/>
      <c r="P531" s="136"/>
      <c r="Q531" s="139"/>
      <c r="R531" s="140"/>
      <c r="S531" s="138"/>
      <c r="T531" s="138"/>
      <c r="U531" s="136"/>
      <c r="V531" s="139"/>
      <c r="W531" s="139"/>
      <c r="X531" s="139"/>
      <c r="Y531" s="139"/>
      <c r="Z531" s="139"/>
    </row>
    <row r="532" spans="1:26" s="8" customFormat="1" ht="13.2">
      <c r="A532" s="136"/>
      <c r="B532" s="161"/>
      <c r="C532" s="137"/>
      <c r="D532" s="512"/>
      <c r="E532" s="139"/>
      <c r="F532" s="136"/>
      <c r="G532" s="138"/>
      <c r="H532" s="347"/>
      <c r="I532" s="136"/>
      <c r="J532" s="136"/>
      <c r="K532"/>
      <c r="L532"/>
      <c r="M532" s="136"/>
      <c r="N532" s="136"/>
      <c r="O532" s="161"/>
      <c r="P532" s="136"/>
      <c r="Q532" s="139"/>
      <c r="R532" s="140"/>
      <c r="S532" s="138"/>
      <c r="T532" s="138"/>
      <c r="U532" s="136"/>
      <c r="V532" s="139"/>
      <c r="W532" s="139"/>
      <c r="X532" s="139"/>
      <c r="Y532" s="139"/>
      <c r="Z532" s="139"/>
    </row>
    <row r="533" spans="1:26" s="8" customFormat="1" ht="12">
      <c r="A533" s="136"/>
      <c r="B533" s="161"/>
      <c r="C533" s="137"/>
      <c r="D533" s="235"/>
      <c r="E533" s="573"/>
      <c r="F533" s="136"/>
      <c r="G533" s="138"/>
      <c r="H533" s="136"/>
      <c r="I533" s="136"/>
      <c r="J533" s="136"/>
      <c r="K533" s="347"/>
      <c r="L533" s="347"/>
      <c r="M533" s="136"/>
      <c r="N533" s="136"/>
      <c r="O533" s="161"/>
      <c r="P533" s="136"/>
      <c r="Q533" s="139"/>
      <c r="R533" s="140"/>
      <c r="S533" s="138"/>
      <c r="T533" s="138"/>
      <c r="U533" s="136"/>
      <c r="V533" s="139"/>
      <c r="W533" s="139"/>
      <c r="X533" s="139"/>
      <c r="Y533" s="139"/>
      <c r="Z533" s="139"/>
    </row>
    <row r="534" spans="1:26" s="8" customFormat="1">
      <c r="A534" s="139"/>
      <c r="B534" s="139"/>
      <c r="C534" s="349"/>
      <c r="D534" s="349"/>
      <c r="E534" s="139"/>
      <c r="F534" s="139"/>
      <c r="G534" s="140"/>
      <c r="H534" s="139"/>
      <c r="I534" s="139"/>
      <c r="J534" s="139"/>
      <c r="K534" s="350"/>
      <c r="L534" s="139"/>
      <c r="M534" s="139"/>
      <c r="N534" s="156"/>
      <c r="O534" s="351"/>
      <c r="P534" s="139"/>
      <c r="Q534" s="139"/>
      <c r="R534" s="140"/>
      <c r="S534" s="140"/>
      <c r="T534" s="140"/>
      <c r="U534" s="139"/>
      <c r="V534" s="139"/>
      <c r="W534" s="139"/>
      <c r="X534" s="139"/>
      <c r="Y534" s="139"/>
      <c r="Z534" s="139"/>
    </row>
    <row r="535" spans="1:26" s="8" customFormat="1">
      <c r="A535" s="139"/>
      <c r="B535" s="139"/>
      <c r="C535" s="349"/>
      <c r="D535" s="349"/>
      <c r="E535" s="139"/>
      <c r="F535" s="139"/>
      <c r="G535" s="140"/>
      <c r="H535" s="139"/>
      <c r="I535" s="139"/>
      <c r="J535" s="139"/>
      <c r="K535" s="350"/>
      <c r="L535" s="139"/>
      <c r="M535" s="139"/>
      <c r="N535" s="156"/>
      <c r="O535" s="351"/>
      <c r="P535" s="139"/>
      <c r="Q535" s="139"/>
      <c r="R535" s="140"/>
      <c r="S535" s="140"/>
      <c r="T535" s="140"/>
      <c r="U535" s="185"/>
      <c r="V535" s="139"/>
      <c r="W535" s="139"/>
      <c r="X535" s="139"/>
      <c r="Y535" s="139"/>
      <c r="Z535" s="139"/>
    </row>
    <row r="536" spans="1:26" s="8" customFormat="1">
      <c r="A536" s="139"/>
      <c r="B536" s="139"/>
      <c r="C536" s="349"/>
      <c r="D536" s="349"/>
      <c r="E536" s="139"/>
      <c r="F536" s="139"/>
      <c r="G536" s="140"/>
      <c r="H536" s="139"/>
      <c r="I536" s="139"/>
      <c r="J536" s="139"/>
      <c r="K536" s="350"/>
      <c r="L536" s="139"/>
      <c r="M536" s="139"/>
      <c r="N536" s="156"/>
      <c r="O536" s="351"/>
      <c r="P536" s="139"/>
      <c r="Q536" s="139"/>
      <c r="R536" s="140"/>
      <c r="S536" s="140"/>
      <c r="T536" s="140"/>
      <c r="U536" s="185"/>
      <c r="V536" s="139"/>
      <c r="W536" s="139"/>
      <c r="X536" s="139"/>
      <c r="Y536" s="139"/>
      <c r="Z536" s="139"/>
    </row>
    <row r="537" spans="1:26" s="8" customFormat="1">
      <c r="A537" s="139"/>
      <c r="B537" s="139"/>
      <c r="C537" s="349"/>
      <c r="D537" s="349"/>
      <c r="E537" s="139"/>
      <c r="F537" s="139"/>
      <c r="G537" s="140"/>
      <c r="H537" s="139"/>
      <c r="I537" s="139"/>
      <c r="J537" s="139"/>
      <c r="K537" s="350"/>
      <c r="L537" s="139"/>
      <c r="M537" s="139"/>
      <c r="N537" s="156"/>
      <c r="O537" s="351"/>
      <c r="P537" s="139"/>
      <c r="Q537" s="139"/>
      <c r="R537" s="140"/>
      <c r="S537" s="140"/>
      <c r="T537" s="140"/>
      <c r="U537" s="185"/>
      <c r="V537" s="139"/>
      <c r="W537" s="139"/>
      <c r="X537" s="139"/>
      <c r="Y537" s="139"/>
      <c r="Z537" s="139"/>
    </row>
    <row r="538" spans="1:26">
      <c r="C538" s="349"/>
      <c r="D538" s="349"/>
      <c r="K538" s="350"/>
      <c r="N538" s="156"/>
      <c r="O538" s="351"/>
      <c r="U538" s="185"/>
    </row>
    <row r="539" spans="1:26" s="8" customFormat="1">
      <c r="A539" s="139"/>
      <c r="B539" s="139"/>
      <c r="C539" s="349"/>
      <c r="D539" s="349"/>
      <c r="E539" s="139"/>
      <c r="F539" s="139"/>
      <c r="G539" s="140"/>
      <c r="H539" s="139"/>
      <c r="I539" s="139"/>
      <c r="J539" s="139"/>
      <c r="K539" s="350"/>
      <c r="L539" s="139"/>
      <c r="M539" s="139"/>
      <c r="N539" s="156"/>
      <c r="O539" s="351"/>
      <c r="P539" s="139"/>
      <c r="Q539" s="139"/>
      <c r="R539" s="140"/>
      <c r="S539" s="140"/>
      <c r="T539" s="140"/>
      <c r="U539" s="185"/>
      <c r="V539" s="139"/>
      <c r="W539" s="139"/>
      <c r="X539" s="139"/>
      <c r="Y539" s="139"/>
      <c r="Z539" s="139"/>
    </row>
    <row r="540" spans="1:26" s="8" customFormat="1">
      <c r="A540" s="139"/>
      <c r="B540" s="139"/>
      <c r="C540" s="349"/>
      <c r="D540" s="349"/>
      <c r="E540" s="139"/>
      <c r="F540" s="139"/>
      <c r="G540" s="140"/>
      <c r="H540" s="139"/>
      <c r="I540" s="139"/>
      <c r="J540" s="139"/>
      <c r="K540" s="350"/>
      <c r="L540" s="139"/>
      <c r="M540" s="139"/>
      <c r="N540" s="156"/>
      <c r="O540" s="351"/>
      <c r="P540" s="139"/>
      <c r="Q540" s="139"/>
      <c r="R540" s="140"/>
      <c r="S540" s="140"/>
      <c r="T540" s="140"/>
      <c r="U540" s="185"/>
      <c r="V540" s="139"/>
      <c r="W540" s="139"/>
      <c r="X540" s="139"/>
      <c r="Y540" s="139"/>
      <c r="Z540" s="139"/>
    </row>
    <row r="541" spans="1:26" s="8" customFormat="1">
      <c r="A541" s="139"/>
      <c r="B541" s="139"/>
      <c r="C541" s="349"/>
      <c r="D541" s="349"/>
      <c r="E541" s="139"/>
      <c r="F541" s="139"/>
      <c r="G541" s="140"/>
      <c r="H541" s="139"/>
      <c r="I541" s="139"/>
      <c r="J541" s="139"/>
      <c r="K541" s="350"/>
      <c r="L541" s="139"/>
      <c r="M541" s="139"/>
      <c r="N541" s="156"/>
      <c r="O541" s="351"/>
      <c r="P541" s="139"/>
      <c r="Q541" s="139"/>
      <c r="R541" s="140"/>
      <c r="S541" s="140"/>
      <c r="T541" s="140"/>
      <c r="U541" s="185"/>
      <c r="V541" s="139"/>
      <c r="W541" s="139"/>
      <c r="X541" s="139"/>
      <c r="Y541" s="139"/>
      <c r="Z541" s="139"/>
    </row>
    <row r="542" spans="1:26" s="8" customFormat="1">
      <c r="A542" s="139"/>
      <c r="B542" s="139"/>
      <c r="C542" s="349"/>
      <c r="D542" s="349"/>
      <c r="E542" s="139"/>
      <c r="F542" s="139"/>
      <c r="G542" s="140"/>
      <c r="H542" s="139"/>
      <c r="I542" s="139"/>
      <c r="J542" s="139"/>
      <c r="K542" s="350"/>
      <c r="L542" s="139"/>
      <c r="M542" s="139"/>
      <c r="N542" s="156"/>
      <c r="O542" s="351"/>
      <c r="P542" s="139"/>
      <c r="Q542" s="139"/>
      <c r="R542" s="140"/>
      <c r="S542" s="140"/>
      <c r="T542" s="140"/>
      <c r="U542" s="185"/>
      <c r="V542" s="139"/>
      <c r="W542" s="139"/>
      <c r="X542" s="139"/>
      <c r="Y542" s="139"/>
      <c r="Z542" s="139"/>
    </row>
    <row r="543" spans="1:26" s="8" customFormat="1">
      <c r="A543" s="139"/>
      <c r="B543" s="139"/>
      <c r="C543" s="349"/>
      <c r="D543" s="349"/>
      <c r="E543" s="139"/>
      <c r="F543" s="139"/>
      <c r="G543" s="140"/>
      <c r="H543" s="139"/>
      <c r="I543" s="139"/>
      <c r="J543" s="139"/>
      <c r="K543" s="350"/>
      <c r="L543" s="139"/>
      <c r="M543" s="139"/>
      <c r="N543" s="156"/>
      <c r="O543" s="351"/>
      <c r="P543" s="139"/>
      <c r="Q543" s="139"/>
      <c r="R543" s="140"/>
      <c r="S543" s="140"/>
      <c r="T543" s="140"/>
      <c r="U543" s="139"/>
      <c r="V543" s="139"/>
      <c r="W543" s="139"/>
      <c r="X543" s="139"/>
      <c r="Y543" s="139"/>
      <c r="Z543" s="139"/>
    </row>
    <row r="544" spans="1:26" s="8" customFormat="1">
      <c r="A544" s="139"/>
      <c r="B544" s="139"/>
      <c r="C544" s="349"/>
      <c r="D544" s="349"/>
      <c r="E544" s="139"/>
      <c r="F544" s="139"/>
      <c r="G544" s="140"/>
      <c r="H544" s="139"/>
      <c r="I544" s="139"/>
      <c r="J544" s="139"/>
      <c r="K544" s="350"/>
      <c r="L544" s="139"/>
      <c r="M544" s="139"/>
      <c r="N544" s="156"/>
      <c r="O544" s="351"/>
      <c r="P544" s="139"/>
      <c r="Q544" s="139"/>
      <c r="R544" s="140"/>
      <c r="S544" s="140"/>
      <c r="T544" s="140"/>
      <c r="U544" s="185"/>
      <c r="V544" s="139"/>
      <c r="W544" s="139"/>
      <c r="X544" s="139"/>
      <c r="Y544" s="139"/>
      <c r="Z544" s="139"/>
    </row>
    <row r="545" spans="1:26" s="8" customFormat="1">
      <c r="A545" s="139"/>
      <c r="B545" s="139"/>
      <c r="C545" s="349"/>
      <c r="D545" s="349"/>
      <c r="E545" s="139"/>
      <c r="F545" s="139"/>
      <c r="G545" s="140"/>
      <c r="H545" s="139"/>
      <c r="I545" s="139"/>
      <c r="J545" s="139"/>
      <c r="K545" s="350"/>
      <c r="L545" s="139"/>
      <c r="M545" s="139"/>
      <c r="N545" s="156"/>
      <c r="O545" s="351"/>
      <c r="P545" s="139"/>
      <c r="Q545" s="139"/>
      <c r="R545" s="140"/>
      <c r="S545" s="140"/>
      <c r="T545" s="140"/>
      <c r="U545" s="185"/>
      <c r="V545" s="139"/>
      <c r="W545" s="139"/>
      <c r="X545" s="139"/>
      <c r="Y545" s="139"/>
      <c r="Z545" s="139"/>
    </row>
    <row r="546" spans="1:26" s="8" customFormat="1" ht="13.2">
      <c r="A546" s="9"/>
      <c r="B546" s="335"/>
      <c r="C546" s="335"/>
      <c r="D546" s="335"/>
      <c r="E546" s="335"/>
      <c r="F546" s="335"/>
      <c r="G546" s="336"/>
      <c r="H546" s="335"/>
      <c r="I546" s="335"/>
      <c r="J546" s="335"/>
      <c r="K546" s="335"/>
      <c r="L546" s="335"/>
      <c r="M546" s="335"/>
      <c r="N546" s="335"/>
      <c r="O546" s="335"/>
      <c r="P546" s="335"/>
      <c r="Q546" s="335"/>
      <c r="R546" s="336"/>
      <c r="S546" s="336"/>
      <c r="T546" s="336"/>
      <c r="U546" s="337"/>
      <c r="V546" s="335"/>
      <c r="W546" s="335"/>
      <c r="X546" s="335"/>
      <c r="Y546" s="335"/>
      <c r="Z546" s="335"/>
    </row>
    <row r="547" spans="1:26" s="8" customFormat="1" ht="13.2">
      <c r="A547" s="139"/>
      <c r="B547" s="139"/>
      <c r="C547" s="154"/>
      <c r="D547" s="154"/>
      <c r="E547" s="139"/>
      <c r="F547" s="139"/>
      <c r="G547" s="140"/>
      <c r="H547" s="139"/>
      <c r="I547" s="139"/>
      <c r="J547" s="139"/>
      <c r="K547" s="139"/>
      <c r="L547" s="139"/>
      <c r="M547" s="139"/>
      <c r="N547" s="264"/>
      <c r="O547" s="157"/>
      <c r="P547" s="139"/>
      <c r="R547" s="140"/>
      <c r="S547" s="140"/>
      <c r="T547" s="140"/>
      <c r="U547" s="346"/>
      <c r="V547" s="263"/>
      <c r="W547" s="139"/>
      <c r="X547" s="139"/>
      <c r="Y547" s="139"/>
      <c r="Z547" s="139"/>
    </row>
    <row r="548" spans="1:26" ht="13.2">
      <c r="A548" s="115"/>
      <c r="B548" s="115"/>
      <c r="C548" s="116"/>
      <c r="D548" s="116"/>
      <c r="E548" s="115"/>
      <c r="F548" s="115"/>
      <c r="G548" s="361"/>
      <c r="H548" s="115"/>
      <c r="I548" s="115"/>
      <c r="J548" s="115"/>
      <c r="K548" s="115"/>
      <c r="L548" s="115"/>
      <c r="M548" s="115"/>
      <c r="N548" s="121"/>
      <c r="O548" s="118"/>
      <c r="P548" s="115"/>
      <c r="Q548" s="115"/>
      <c r="R548" s="361"/>
      <c r="S548" s="361"/>
      <c r="T548" s="361"/>
      <c r="U548" s="119"/>
      <c r="V548" s="120"/>
      <c r="W548" s="115"/>
      <c r="X548" s="115"/>
      <c r="Y548" s="115"/>
      <c r="Z548" s="115"/>
    </row>
    <row r="549" spans="1:26" s="194" customFormat="1" ht="13.8" thickBot="1">
      <c r="A549" s="115"/>
      <c r="B549" s="115"/>
      <c r="C549" s="116"/>
      <c r="D549" s="116"/>
      <c r="E549" s="115"/>
      <c r="F549" s="115"/>
      <c r="G549" s="361"/>
      <c r="H549" s="115"/>
      <c r="I549" s="115"/>
      <c r="J549" s="115"/>
      <c r="K549" s="115"/>
      <c r="L549" s="115"/>
      <c r="M549" s="115"/>
      <c r="N549" s="121"/>
      <c r="O549" s="118"/>
      <c r="P549" s="115"/>
      <c r="Q549" s="115"/>
      <c r="R549" s="361"/>
      <c r="S549" s="361"/>
      <c r="T549" s="361"/>
      <c r="U549" s="129"/>
      <c r="V549" s="115"/>
      <c r="W549" s="115"/>
      <c r="X549" s="115"/>
      <c r="Y549" s="115"/>
      <c r="Z549" s="115"/>
    </row>
    <row r="550" spans="1:26" ht="13.8" thickBot="1">
      <c r="A550" s="517"/>
      <c r="B550" s="539"/>
      <c r="C550" s="116"/>
      <c r="D550" s="651"/>
      <c r="E550" s="539"/>
      <c r="F550" s="115"/>
      <c r="G550" s="361"/>
      <c r="H550" s="364"/>
      <c r="I550" s="115"/>
      <c r="J550" s="115"/>
      <c r="K550" s="124"/>
      <c r="L550" s="115"/>
      <c r="M550" s="115"/>
      <c r="N550" s="121"/>
      <c r="O550" s="118"/>
      <c r="P550" s="115"/>
      <c r="Q550" s="115"/>
      <c r="R550" s="361"/>
      <c r="S550" s="361"/>
      <c r="T550" s="361"/>
      <c r="U550" s="129"/>
      <c r="V550" s="120"/>
      <c r="W550" s="115"/>
      <c r="X550" s="115"/>
      <c r="Y550" s="115"/>
      <c r="Z550" s="115"/>
    </row>
    <row r="551" spans="1:26" ht="13.8" thickBot="1">
      <c r="A551" s="511"/>
      <c r="B551" s="535"/>
      <c r="C551" s="548"/>
      <c r="D551" s="561"/>
      <c r="E551" s="543"/>
      <c r="F551" s="115"/>
      <c r="G551" s="361"/>
      <c r="H551" s="364"/>
      <c r="I551" s="115"/>
      <c r="J551" s="115"/>
      <c r="K551" s="115"/>
      <c r="L551" s="124"/>
      <c r="M551" s="115"/>
      <c r="N551" s="121"/>
      <c r="O551" s="118"/>
      <c r="P551" s="115"/>
      <c r="Q551" s="115"/>
      <c r="R551" s="361"/>
      <c r="S551" s="361"/>
      <c r="T551" s="361"/>
      <c r="U551" s="129"/>
      <c r="V551" s="120"/>
      <c r="W551" s="115"/>
      <c r="X551" s="115"/>
      <c r="Y551" s="115"/>
      <c r="Z551" s="115"/>
    </row>
    <row r="552" spans="1:26" ht="13.8" thickBot="1">
      <c r="A552" s="8"/>
      <c r="B552" s="8"/>
      <c r="C552" s="31"/>
      <c r="D552" s="654"/>
      <c r="E552" s="13"/>
      <c r="F552" s="8"/>
      <c r="G552" s="132"/>
      <c r="H552" s="404"/>
      <c r="I552" s="8"/>
      <c r="J552" s="8"/>
      <c r="K552" s="8"/>
      <c r="L552" s="15"/>
      <c r="M552" s="8"/>
      <c r="N552" s="2"/>
      <c r="O552" s="12"/>
      <c r="P552" s="8"/>
      <c r="Q552" s="8"/>
      <c r="R552" s="132"/>
      <c r="S552" s="132"/>
      <c r="T552" s="132"/>
      <c r="U552" s="126"/>
      <c r="V552" s="86"/>
      <c r="W552" s="8"/>
      <c r="X552" s="8"/>
      <c r="Y552" s="8"/>
      <c r="Z552" s="8"/>
    </row>
    <row r="553" spans="1:26" ht="13.8" thickBot="1">
      <c r="A553" s="622"/>
      <c r="B553" s="635"/>
      <c r="C553" s="441"/>
      <c r="D553" s="652"/>
      <c r="E553" s="662"/>
      <c r="F553" s="440"/>
      <c r="G553" s="442"/>
      <c r="H553" s="447"/>
      <c r="I553" s="440"/>
      <c r="J553" s="440"/>
      <c r="K553" s="440"/>
      <c r="L553" s="448"/>
      <c r="M553" s="440"/>
      <c r="N553" s="443"/>
      <c r="O553" s="444"/>
      <c r="P553" s="440"/>
      <c r="Q553" s="440"/>
      <c r="R553" s="442"/>
      <c r="S553" s="442"/>
      <c r="T553" s="442"/>
      <c r="U553" s="616"/>
      <c r="V553" s="445"/>
      <c r="W553" s="440"/>
      <c r="X553" s="440"/>
      <c r="Y553" s="440"/>
      <c r="Z553" s="440"/>
    </row>
    <row r="554" spans="1:26" ht="13.8" thickBot="1">
      <c r="A554" s="521"/>
      <c r="B554" s="542"/>
      <c r="C554" s="116"/>
      <c r="D554" s="561"/>
      <c r="E554" s="543"/>
      <c r="F554" s="115"/>
      <c r="G554" s="361"/>
      <c r="H554" s="115"/>
      <c r="I554" s="115"/>
      <c r="J554" s="115"/>
      <c r="K554" s="115"/>
      <c r="L554" s="115"/>
      <c r="M554" s="115"/>
      <c r="N554" s="121"/>
      <c r="O554" s="118"/>
      <c r="P554" s="115"/>
      <c r="Q554" s="115"/>
      <c r="R554" s="361"/>
      <c r="S554" s="361"/>
      <c r="T554" s="361"/>
      <c r="U554" s="598"/>
      <c r="V554" s="120"/>
      <c r="W554" s="115"/>
      <c r="X554" s="115"/>
      <c r="Y554" s="115"/>
      <c r="Z554" s="115"/>
    </row>
    <row r="555" spans="1:26" ht="10.8" thickBot="1">
      <c r="A555" s="10"/>
      <c r="B555" s="13"/>
      <c r="C555" s="31"/>
      <c r="D555" s="567"/>
      <c r="E555" s="541"/>
      <c r="F555" s="8"/>
      <c r="G555" s="132"/>
      <c r="H555" s="8"/>
      <c r="I555" s="8"/>
      <c r="J555" s="8"/>
      <c r="K555" s="8"/>
      <c r="L555" s="8"/>
      <c r="M555" s="8"/>
      <c r="N555" s="73"/>
      <c r="O555" s="12"/>
      <c r="P555" s="8"/>
      <c r="Q555" s="457"/>
      <c r="R555" s="132"/>
      <c r="S555" s="132"/>
      <c r="T555" s="132"/>
      <c r="U555" s="603"/>
      <c r="V555" s="8"/>
      <c r="W555" s="86"/>
      <c r="X555" s="8"/>
      <c r="Y555" s="8"/>
      <c r="Z555" s="8"/>
    </row>
    <row r="556" spans="1:26" ht="13.8" thickBot="1">
      <c r="A556" s="519"/>
      <c r="B556" s="541"/>
      <c r="C556" s="31"/>
      <c r="D556" s="567"/>
      <c r="E556" s="541"/>
      <c r="F556" s="8"/>
      <c r="G556" s="132"/>
      <c r="H556" s="8"/>
      <c r="I556" s="8"/>
      <c r="J556" s="8"/>
      <c r="K556" s="8"/>
      <c r="L556" s="8"/>
      <c r="M556" s="8"/>
      <c r="N556" s="2"/>
      <c r="O556" s="12"/>
      <c r="P556" s="8"/>
      <c r="Q556" s="8"/>
      <c r="R556" s="132"/>
      <c r="S556" s="132"/>
      <c r="T556" s="132"/>
      <c r="U556" s="603"/>
      <c r="V556" s="86"/>
      <c r="W556" s="8"/>
      <c r="X556" s="8"/>
      <c r="Y556" s="8"/>
      <c r="Z556" s="8"/>
    </row>
    <row r="557" spans="1:26" ht="13.2">
      <c r="A557" s="10"/>
      <c r="B557" s="8"/>
      <c r="C557" s="31"/>
      <c r="D557" s="31"/>
      <c r="E557" s="8"/>
      <c r="F557" s="8"/>
      <c r="G557" s="132"/>
      <c r="H557" s="8"/>
      <c r="I557" s="8"/>
      <c r="J557" s="8"/>
      <c r="K557" s="8"/>
      <c r="L557" s="2"/>
      <c r="M557" s="8"/>
      <c r="N557" s="2"/>
      <c r="O557" s="12"/>
      <c r="P557" s="8"/>
      <c r="Q557" s="8"/>
      <c r="R557" s="132"/>
      <c r="S557" s="132"/>
      <c r="T557" s="132"/>
      <c r="U557" s="85"/>
      <c r="V557" s="86"/>
      <c r="W557" s="8"/>
      <c r="X557" s="8"/>
      <c r="Y557" s="8"/>
      <c r="Z557" s="8"/>
    </row>
    <row r="558" spans="1:26" ht="13.2">
      <c r="A558" s="10"/>
      <c r="B558" s="8"/>
      <c r="C558" s="31"/>
      <c r="D558" s="31"/>
      <c r="E558" s="8"/>
      <c r="F558" s="8"/>
      <c r="G558" s="132"/>
      <c r="H558" s="8"/>
      <c r="I558" s="404"/>
      <c r="J558" s="8"/>
      <c r="K558" s="8"/>
      <c r="L558" s="8"/>
      <c r="M558" s="8"/>
      <c r="N558" s="2"/>
      <c r="O558" s="12"/>
      <c r="P558" s="8"/>
      <c r="Q558" s="8"/>
      <c r="R558" s="132"/>
      <c r="S558" s="132"/>
      <c r="T558" s="132"/>
      <c r="U558" s="85"/>
      <c r="V558" s="86"/>
      <c r="W558" s="8"/>
      <c r="X558" s="8"/>
      <c r="Y558" s="8"/>
      <c r="Z558" s="8"/>
    </row>
    <row r="559" spans="1:26" ht="13.2">
      <c r="A559" s="10"/>
      <c r="B559" s="8"/>
      <c r="C559" s="31"/>
      <c r="D559" s="31"/>
      <c r="E559" s="8"/>
      <c r="F559" s="8"/>
      <c r="G559" s="132"/>
      <c r="H559" s="8"/>
      <c r="I559" s="8"/>
      <c r="J559" s="8"/>
      <c r="K559" s="8"/>
      <c r="L559" s="8"/>
      <c r="M559" s="8"/>
      <c r="N559" s="2"/>
      <c r="O559" s="12"/>
      <c r="P559" s="8"/>
      <c r="Q559" s="8"/>
      <c r="R559" s="132"/>
      <c r="S559" s="132"/>
      <c r="T559" s="132"/>
      <c r="U559" s="85"/>
      <c r="V559" s="86"/>
      <c r="W559" s="8"/>
      <c r="X559" s="8"/>
      <c r="Y559" s="8"/>
      <c r="Z559" s="8"/>
    </row>
    <row r="560" spans="1:26" ht="13.2">
      <c r="A560" s="10"/>
      <c r="B560" s="8"/>
      <c r="C560" s="31"/>
      <c r="D560" s="31"/>
      <c r="E560" s="8"/>
      <c r="F560" s="8"/>
      <c r="G560" s="132"/>
      <c r="H560" s="8"/>
      <c r="I560" s="8"/>
      <c r="J560" s="8"/>
      <c r="K560" s="8"/>
      <c r="L560" s="8"/>
      <c r="M560" s="8"/>
      <c r="N560" s="2"/>
      <c r="O560" s="12"/>
      <c r="P560" s="8"/>
      <c r="Q560" s="8"/>
      <c r="R560" s="132"/>
      <c r="S560" s="132"/>
      <c r="T560" s="132"/>
      <c r="U560" s="85"/>
      <c r="V560" s="86"/>
      <c r="W560" s="8"/>
      <c r="X560" s="8"/>
      <c r="Y560" s="8"/>
      <c r="Z560" s="8"/>
    </row>
    <row r="561" spans="1:26">
      <c r="A561" s="10"/>
      <c r="B561" s="8"/>
      <c r="C561" s="31"/>
      <c r="D561" s="31"/>
      <c r="E561" s="8"/>
      <c r="F561" s="8"/>
      <c r="G561" s="132"/>
      <c r="H561" s="8"/>
      <c r="I561" s="8"/>
      <c r="J561" s="8"/>
      <c r="K561" s="8"/>
      <c r="L561" s="8"/>
      <c r="M561" s="8"/>
      <c r="N561" s="49"/>
      <c r="O561" s="12"/>
      <c r="P561" s="8"/>
      <c r="Q561" s="8"/>
      <c r="R561" s="132"/>
      <c r="S561" s="132"/>
      <c r="T561" s="132"/>
      <c r="U561" s="85"/>
      <c r="V561" s="86"/>
      <c r="W561" s="8"/>
      <c r="X561" s="8"/>
      <c r="Y561" s="8"/>
      <c r="Z561" s="8"/>
    </row>
    <row r="562" spans="1:26" ht="13.2">
      <c r="A562" s="10"/>
      <c r="C562" s="31"/>
      <c r="D562" s="31"/>
      <c r="E562" s="8"/>
      <c r="G562" s="132"/>
      <c r="H562" s="8"/>
      <c r="I562" s="8"/>
      <c r="J562" s="8"/>
      <c r="L562" s="8"/>
      <c r="N562" s="2"/>
      <c r="O562" s="157"/>
      <c r="Q562" s="8"/>
      <c r="U562" s="85"/>
      <c r="V562" s="263"/>
      <c r="W562" s="8"/>
    </row>
    <row r="563" spans="1:26">
      <c r="A563" s="10"/>
      <c r="B563" s="8"/>
      <c r="C563" s="31"/>
      <c r="D563" s="31"/>
      <c r="E563" s="8"/>
      <c r="F563" s="8"/>
      <c r="G563" s="132"/>
      <c r="H563" s="8"/>
      <c r="I563" s="8"/>
      <c r="J563" s="8"/>
      <c r="K563" s="8"/>
      <c r="L563" s="8"/>
      <c r="M563" s="8"/>
      <c r="N563" s="49"/>
      <c r="O563" s="12"/>
      <c r="P563" s="8"/>
      <c r="Q563" s="8"/>
      <c r="R563" s="132"/>
      <c r="S563" s="132"/>
      <c r="T563" s="132"/>
      <c r="U563" s="85"/>
      <c r="V563" s="86"/>
      <c r="W563" s="8"/>
      <c r="X563" s="8"/>
      <c r="Y563" s="8"/>
      <c r="Z563" s="8"/>
    </row>
    <row r="564" spans="1:26" ht="13.2">
      <c r="A564" s="10"/>
      <c r="B564" s="8"/>
      <c r="C564" s="31"/>
      <c r="D564" s="31"/>
      <c r="E564" s="8"/>
      <c r="F564" s="8"/>
      <c r="G564" s="132"/>
      <c r="H564" s="8"/>
      <c r="I564" s="8"/>
      <c r="J564" s="8"/>
      <c r="K564" s="8"/>
      <c r="L564" s="8"/>
      <c r="M564" s="8"/>
      <c r="N564" s="2"/>
      <c r="O564" s="12"/>
      <c r="P564" s="8"/>
      <c r="Q564" s="8"/>
      <c r="R564" s="132"/>
      <c r="S564" s="132"/>
      <c r="T564" s="132"/>
      <c r="U564" s="85"/>
      <c r="V564" s="86"/>
      <c r="W564" s="8"/>
      <c r="X564" s="8"/>
      <c r="Y564" s="8"/>
      <c r="Z564" s="8"/>
    </row>
    <row r="565" spans="1:26" ht="13.2">
      <c r="A565" s="10"/>
      <c r="B565" s="8"/>
      <c r="C565" s="31"/>
      <c r="D565" s="31"/>
      <c r="E565" s="8"/>
      <c r="F565" s="8"/>
      <c r="G565" s="132"/>
      <c r="H565" s="8"/>
      <c r="I565" s="8"/>
      <c r="J565" s="8"/>
      <c r="K565" s="8"/>
      <c r="L565" s="8"/>
      <c r="M565" s="8"/>
      <c r="N565" s="2"/>
      <c r="O565" s="12"/>
      <c r="P565" s="8"/>
      <c r="Q565" s="8"/>
      <c r="R565" s="132"/>
      <c r="S565" s="132"/>
      <c r="T565" s="132"/>
      <c r="U565" s="85"/>
      <c r="V565" s="86"/>
      <c r="W565" s="8"/>
      <c r="X565" s="8"/>
      <c r="Y565" s="8"/>
      <c r="Z565" s="8"/>
    </row>
    <row r="566" spans="1:26" ht="13.2">
      <c r="A566" s="10"/>
      <c r="B566" s="8"/>
      <c r="C566" s="31"/>
      <c r="D566" s="31"/>
      <c r="E566" s="8"/>
      <c r="F566" s="8"/>
      <c r="G566" s="132"/>
      <c r="H566" s="8"/>
      <c r="I566" s="8"/>
      <c r="J566" s="8"/>
      <c r="K566" s="8"/>
      <c r="L566" s="8"/>
      <c r="M566" s="8"/>
      <c r="N566" s="2"/>
      <c r="O566" s="12"/>
      <c r="P566" s="8"/>
      <c r="Q566" s="8"/>
      <c r="R566" s="132"/>
      <c r="S566" s="132"/>
      <c r="T566" s="132"/>
      <c r="U566" s="85"/>
      <c r="V566" s="86"/>
      <c r="W566" s="8"/>
      <c r="X566" s="8"/>
      <c r="Y566" s="8"/>
      <c r="Z566" s="8"/>
    </row>
    <row r="567" spans="1:26" ht="13.2">
      <c r="A567" s="10"/>
      <c r="B567" s="8"/>
      <c r="C567" s="31"/>
      <c r="D567" s="31"/>
      <c r="E567" s="8"/>
      <c r="F567" s="8"/>
      <c r="G567" s="132"/>
      <c r="H567" s="404"/>
      <c r="I567" s="8"/>
      <c r="J567" s="8"/>
      <c r="K567" s="15"/>
      <c r="L567" s="15"/>
      <c r="M567" s="8"/>
      <c r="N567" s="2"/>
      <c r="O567" s="12"/>
      <c r="P567" s="8"/>
      <c r="Q567" s="8"/>
      <c r="R567" s="132"/>
      <c r="S567" s="132"/>
      <c r="T567" s="132"/>
      <c r="U567" s="85"/>
      <c r="V567" s="86"/>
      <c r="W567" s="8"/>
      <c r="X567" s="8"/>
      <c r="Y567" s="8"/>
      <c r="Z567" s="8"/>
    </row>
    <row r="568" spans="1:26">
      <c r="A568" s="10"/>
      <c r="B568" s="8"/>
      <c r="C568" s="31"/>
      <c r="D568" s="31"/>
      <c r="E568" s="8"/>
      <c r="F568" s="8"/>
      <c r="G568" s="132"/>
      <c r="H568" s="404"/>
      <c r="I568" s="8"/>
      <c r="J568" s="8"/>
      <c r="K568" s="15"/>
      <c r="L568" s="15"/>
      <c r="M568" s="8"/>
      <c r="N568" s="49"/>
      <c r="O568" s="12"/>
      <c r="P568" s="8"/>
      <c r="Q568" s="8"/>
      <c r="R568" s="132"/>
      <c r="S568" s="132"/>
      <c r="T568" s="132"/>
      <c r="U568" s="85"/>
      <c r="V568" s="86"/>
      <c r="W568" s="8"/>
      <c r="X568" s="8"/>
      <c r="Y568" s="8"/>
      <c r="Z568" s="8"/>
    </row>
    <row r="569" spans="1:26">
      <c r="A569" s="10"/>
      <c r="B569" s="8"/>
      <c r="C569" s="31"/>
      <c r="D569" s="31"/>
      <c r="E569" s="8"/>
      <c r="F569" s="8"/>
      <c r="G569" s="132"/>
      <c r="H569" s="404"/>
      <c r="I569" s="457"/>
      <c r="J569" s="457"/>
      <c r="K569" s="457"/>
      <c r="L569" s="457"/>
      <c r="M569" s="457"/>
      <c r="N569" s="462"/>
      <c r="O569" s="463"/>
      <c r="P569" s="8"/>
      <c r="Q569" s="8"/>
      <c r="R569" s="132"/>
      <c r="S569" s="132"/>
      <c r="T569" s="132"/>
      <c r="U569" s="85"/>
      <c r="V569" s="86"/>
      <c r="W569" s="8"/>
      <c r="X569" s="8"/>
      <c r="Y569" s="8"/>
      <c r="Z569" s="8"/>
    </row>
    <row r="570" spans="1:26" ht="13.2">
      <c r="A570" s="10"/>
      <c r="B570" s="8"/>
      <c r="C570" s="31"/>
      <c r="D570" s="31"/>
      <c r="E570" s="8"/>
      <c r="F570" s="8"/>
      <c r="G570" s="132"/>
      <c r="H570" s="7"/>
      <c r="I570" s="457"/>
      <c r="J570" s="457"/>
      <c r="K570" s="457"/>
      <c r="L570" s="457"/>
      <c r="M570" s="457"/>
      <c r="N570" s="464"/>
      <c r="O570" s="463"/>
      <c r="P570" s="8"/>
      <c r="Q570" s="8"/>
      <c r="R570" s="132"/>
      <c r="S570" s="132"/>
      <c r="T570" s="132"/>
      <c r="U570" s="85"/>
      <c r="V570" s="86"/>
      <c r="W570" s="8"/>
      <c r="X570" s="8"/>
      <c r="Y570" s="8"/>
      <c r="Z570" s="8"/>
    </row>
    <row r="571" spans="1:26" ht="13.2">
      <c r="A571" s="10"/>
      <c r="B571" s="8"/>
      <c r="C571" s="31"/>
      <c r="D571" s="31"/>
      <c r="E571" s="8"/>
      <c r="F571" s="8"/>
      <c r="G571" s="132"/>
      <c r="H571" s="7"/>
      <c r="I571" s="457"/>
      <c r="J571" s="457"/>
      <c r="K571" s="457"/>
      <c r="L571" s="457"/>
      <c r="M571" s="457"/>
      <c r="N571" s="465"/>
      <c r="O571" s="463"/>
      <c r="P571" s="8"/>
      <c r="Q571" s="8"/>
      <c r="R571" s="132"/>
      <c r="S571" s="132"/>
      <c r="T571" s="132"/>
      <c r="U571" s="85"/>
      <c r="V571" s="86"/>
      <c r="W571" s="8"/>
      <c r="X571" s="8"/>
      <c r="Y571" s="8"/>
      <c r="Z571" s="8"/>
    </row>
    <row r="572" spans="1:26" ht="13.2">
      <c r="A572" s="153"/>
      <c r="I572" s="458"/>
      <c r="J572" s="458"/>
      <c r="K572" s="458"/>
      <c r="L572" s="458"/>
      <c r="M572" s="458"/>
      <c r="N572" s="466"/>
      <c r="O572" s="467"/>
      <c r="U572" s="85"/>
      <c r="X572" s="8"/>
    </row>
    <row r="573" spans="1:26" ht="13.2">
      <c r="A573" s="513"/>
      <c r="B573" s="194"/>
      <c r="C573" s="194"/>
      <c r="D573" s="194"/>
      <c r="E573" s="194"/>
      <c r="F573" s="194"/>
      <c r="G573" s="334"/>
      <c r="H573" s="347"/>
      <c r="I573" s="459"/>
      <c r="J573" s="459"/>
      <c r="K573" s="459"/>
      <c r="L573" s="459"/>
      <c r="M573" s="459"/>
      <c r="N573" s="459"/>
      <c r="O573" s="459"/>
      <c r="P573" s="194"/>
      <c r="Q573" s="194"/>
      <c r="R573" s="334"/>
      <c r="S573" s="334"/>
      <c r="T573" s="334"/>
      <c r="U573" s="571"/>
      <c r="V573" s="348"/>
      <c r="W573" s="194"/>
      <c r="X573" s="194"/>
      <c r="Y573" s="194"/>
      <c r="Z573" s="194"/>
    </row>
    <row r="574" spans="1:26" ht="13.2">
      <c r="A574" s="510"/>
      <c r="B574" s="522"/>
      <c r="C574" s="289"/>
      <c r="D574" s="141"/>
      <c r="E574" s="194"/>
      <c r="F574" s="136"/>
      <c r="G574" s="138"/>
      <c r="H574" s="264"/>
      <c r="I574" s="468"/>
      <c r="J574" s="468"/>
      <c r="K574" s="468"/>
      <c r="L574" s="460"/>
      <c r="M574" s="468"/>
      <c r="N574" s="468"/>
      <c r="O574" s="468"/>
      <c r="P574" s="136"/>
      <c r="S574" s="138"/>
      <c r="T574" s="138"/>
      <c r="U574" s="587"/>
    </row>
    <row r="575" spans="1:26" ht="13.2">
      <c r="A575" s="187"/>
      <c r="B575" s="527"/>
      <c r="C575" s="544"/>
      <c r="D575" s="512"/>
      <c r="F575" s="136"/>
      <c r="G575" s="138"/>
      <c r="H575" s="194"/>
      <c r="I575" s="468"/>
      <c r="J575" s="468"/>
      <c r="K575" s="469"/>
      <c r="L575" s="458"/>
      <c r="M575" s="468"/>
      <c r="N575" s="458"/>
      <c r="O575" s="468"/>
      <c r="P575" s="136"/>
      <c r="S575" s="138"/>
      <c r="T575" s="138"/>
      <c r="U575" s="587"/>
    </row>
    <row r="576" spans="1:26" ht="12">
      <c r="A576" s="187"/>
      <c r="B576" s="136"/>
      <c r="C576" s="137"/>
      <c r="D576" s="512"/>
      <c r="F576" s="136"/>
      <c r="G576" s="138"/>
      <c r="H576" s="347"/>
      <c r="I576" s="468"/>
      <c r="J576" s="468"/>
      <c r="K576" s="469"/>
      <c r="L576" s="461"/>
      <c r="M576" s="468"/>
      <c r="N576" s="458"/>
      <c r="O576" s="468"/>
      <c r="P576" s="136"/>
      <c r="S576" s="138"/>
      <c r="T576" s="138"/>
      <c r="U576" s="186"/>
    </row>
    <row r="577" spans="1:21" ht="12">
      <c r="A577" s="187"/>
      <c r="B577" s="537"/>
      <c r="C577" s="137"/>
      <c r="D577" s="512"/>
      <c r="F577" s="136"/>
      <c r="G577" s="138"/>
      <c r="H577" s="347"/>
      <c r="I577" s="468"/>
      <c r="J577" s="468"/>
      <c r="K577" s="469"/>
      <c r="L577" s="469"/>
      <c r="M577" s="468"/>
      <c r="N577" s="458"/>
      <c r="O577" s="458"/>
      <c r="P577" s="136"/>
      <c r="S577" s="138"/>
      <c r="T577" s="138"/>
      <c r="U577" s="186"/>
    </row>
    <row r="578" spans="1:21" ht="15.6">
      <c r="A578" s="187"/>
      <c r="B578" s="523"/>
      <c r="C578" s="137"/>
      <c r="D578" s="512"/>
      <c r="F578" s="136"/>
      <c r="G578" s="138"/>
      <c r="H578" s="347"/>
      <c r="I578" s="136"/>
      <c r="J578" s="136"/>
      <c r="K578" s="2"/>
      <c r="L578" s="2"/>
      <c r="M578" s="136"/>
      <c r="N578" s="366"/>
      <c r="O578" s="161"/>
      <c r="P578" s="136"/>
      <c r="S578" s="138"/>
      <c r="T578" s="138"/>
      <c r="U578" s="186"/>
    </row>
    <row r="579" spans="1:21" ht="13.2">
      <c r="A579" s="187"/>
      <c r="B579" s="161"/>
      <c r="C579" s="137"/>
      <c r="D579" s="512"/>
      <c r="F579" s="136"/>
      <c r="G579" s="138"/>
      <c r="H579" s="347"/>
      <c r="I579" s="136"/>
      <c r="J579" s="136"/>
      <c r="K579"/>
      <c r="L579"/>
      <c r="M579" s="136"/>
      <c r="N579" s="136"/>
      <c r="O579" s="161"/>
      <c r="P579" s="136"/>
      <c r="S579" s="138"/>
      <c r="T579" s="138"/>
      <c r="U579" s="186"/>
    </row>
    <row r="580" spans="1:21" ht="12">
      <c r="A580" s="187"/>
      <c r="B580" s="161"/>
      <c r="C580" s="137"/>
      <c r="D580" s="235"/>
      <c r="E580" s="573"/>
      <c r="F580" s="136"/>
      <c r="G580" s="138"/>
      <c r="H580" s="136"/>
      <c r="I580" s="136"/>
      <c r="J580" s="136"/>
      <c r="K580" s="347"/>
      <c r="L580" s="347"/>
      <c r="M580" s="136"/>
      <c r="N580" s="136"/>
      <c r="O580" s="161"/>
      <c r="P580" s="136"/>
      <c r="S580" s="138"/>
      <c r="T580" s="138"/>
      <c r="U580" s="186"/>
    </row>
    <row r="581" spans="1:21">
      <c r="A581" s="153"/>
      <c r="C581" s="349"/>
      <c r="D581" s="349"/>
      <c r="K581" s="350"/>
      <c r="N581" s="156"/>
      <c r="O581" s="351"/>
      <c r="U581" s="185"/>
    </row>
    <row r="582" spans="1:21">
      <c r="A582" s="153"/>
      <c r="C582" s="349"/>
      <c r="D582" s="349"/>
      <c r="K582" s="350"/>
      <c r="N582" s="156"/>
      <c r="O582" s="351"/>
      <c r="U582" s="185"/>
    </row>
    <row r="583" spans="1:21">
      <c r="A583" s="153"/>
      <c r="C583" s="349"/>
      <c r="D583" s="349"/>
      <c r="K583" s="350"/>
      <c r="N583" s="156"/>
      <c r="O583" s="351"/>
      <c r="U583" s="185"/>
    </row>
    <row r="584" spans="1:21">
      <c r="A584" s="153"/>
      <c r="C584" s="349"/>
      <c r="D584" s="349"/>
      <c r="K584" s="350"/>
      <c r="N584" s="156"/>
      <c r="O584" s="351"/>
      <c r="U584" s="185"/>
    </row>
    <row r="585" spans="1:21">
      <c r="A585" s="153"/>
      <c r="C585" s="349"/>
      <c r="D585" s="349"/>
      <c r="K585" s="350"/>
      <c r="N585" s="156"/>
      <c r="O585" s="351"/>
      <c r="U585" s="185"/>
    </row>
    <row r="586" spans="1:21">
      <c r="A586" s="153"/>
      <c r="C586" s="349"/>
      <c r="D586" s="349"/>
      <c r="K586" s="350"/>
      <c r="N586" s="156"/>
      <c r="O586" s="351"/>
      <c r="U586" s="185"/>
    </row>
    <row r="587" spans="1:21">
      <c r="A587" s="153"/>
      <c r="C587" s="349"/>
      <c r="D587" s="349"/>
      <c r="K587" s="350"/>
      <c r="N587" s="156"/>
      <c r="O587" s="351"/>
      <c r="U587" s="185"/>
    </row>
    <row r="588" spans="1:21">
      <c r="A588" s="153"/>
      <c r="C588" s="349"/>
      <c r="D588" s="349"/>
      <c r="K588" s="350"/>
      <c r="N588" s="156"/>
      <c r="O588" s="351"/>
      <c r="U588" s="185"/>
    </row>
    <row r="589" spans="1:21">
      <c r="A589" s="153"/>
      <c r="C589" s="349"/>
      <c r="D589" s="349"/>
      <c r="K589" s="350"/>
      <c r="N589" s="156"/>
      <c r="O589" s="351"/>
      <c r="U589" s="185"/>
    </row>
    <row r="590" spans="1:21">
      <c r="A590" s="153"/>
      <c r="C590" s="349"/>
      <c r="D590" s="349"/>
      <c r="K590" s="350"/>
      <c r="N590" s="156"/>
      <c r="O590" s="351"/>
      <c r="U590" s="185"/>
    </row>
    <row r="591" spans="1:21">
      <c r="A591" s="153"/>
      <c r="C591" s="349"/>
      <c r="D591" s="349"/>
      <c r="K591" s="350"/>
      <c r="N591" s="156"/>
      <c r="O591" s="351"/>
      <c r="U591" s="185"/>
    </row>
    <row r="592" spans="1:21">
      <c r="A592" s="153"/>
      <c r="C592" s="349"/>
      <c r="D592" s="349"/>
      <c r="K592" s="350"/>
      <c r="N592" s="156"/>
      <c r="O592" s="351"/>
      <c r="U592" s="185"/>
    </row>
    <row r="593" spans="1:21">
      <c r="A593" s="153"/>
      <c r="C593" s="349"/>
      <c r="D593" s="349"/>
      <c r="K593" s="350"/>
      <c r="N593" s="156"/>
      <c r="O593" s="351"/>
      <c r="U593" s="185"/>
    </row>
    <row r="594" spans="1:21">
      <c r="A594" s="153"/>
      <c r="C594" s="349"/>
      <c r="D594" s="349"/>
      <c r="K594" s="350"/>
      <c r="N594" s="156"/>
      <c r="O594" s="351"/>
      <c r="U594" s="185"/>
    </row>
    <row r="595" spans="1:21">
      <c r="A595" s="153"/>
      <c r="C595" s="349"/>
      <c r="D595" s="349"/>
      <c r="K595" s="350"/>
      <c r="N595" s="156"/>
      <c r="O595" s="351"/>
      <c r="U595" s="185"/>
    </row>
    <row r="596" spans="1:21">
      <c r="A596" s="153"/>
      <c r="C596" s="349"/>
      <c r="D596" s="349"/>
      <c r="K596" s="350"/>
      <c r="N596" s="156"/>
      <c r="O596" s="351"/>
      <c r="U596" s="185"/>
    </row>
    <row r="597" spans="1:21">
      <c r="A597" s="153"/>
      <c r="C597" s="349"/>
      <c r="D597" s="349"/>
      <c r="K597" s="350"/>
      <c r="N597" s="156"/>
      <c r="O597" s="351"/>
      <c r="U597" s="185"/>
    </row>
    <row r="598" spans="1:21">
      <c r="A598" s="153"/>
      <c r="C598" s="349"/>
      <c r="D598" s="349"/>
      <c r="K598" s="350"/>
      <c r="N598" s="156"/>
      <c r="O598" s="351"/>
      <c r="U598" s="185"/>
    </row>
    <row r="599" spans="1:21">
      <c r="A599" s="153"/>
      <c r="C599" s="349"/>
      <c r="D599" s="349"/>
      <c r="K599" s="350"/>
      <c r="N599" s="156"/>
      <c r="O599" s="351"/>
      <c r="U599" s="185"/>
    </row>
    <row r="600" spans="1:21">
      <c r="A600" s="153"/>
      <c r="C600" s="349"/>
      <c r="D600" s="349"/>
      <c r="K600" s="350"/>
      <c r="N600" s="156"/>
      <c r="O600" s="351"/>
      <c r="U600" s="185"/>
    </row>
    <row r="601" spans="1:21">
      <c r="A601" s="153"/>
      <c r="C601" s="349"/>
      <c r="D601" s="349"/>
      <c r="K601" s="350"/>
      <c r="N601" s="156"/>
      <c r="O601" s="351"/>
      <c r="U601" s="185"/>
    </row>
    <row r="602" spans="1:21">
      <c r="A602" s="153"/>
      <c r="C602" s="349"/>
      <c r="D602" s="349"/>
      <c r="K602" s="350"/>
      <c r="N602" s="156"/>
      <c r="O602" s="351"/>
      <c r="U602" s="185"/>
    </row>
    <row r="603" spans="1:21">
      <c r="A603" s="153"/>
      <c r="C603" s="349"/>
      <c r="D603" s="349"/>
      <c r="K603" s="350"/>
      <c r="N603" s="156"/>
      <c r="O603" s="351"/>
      <c r="U603" s="185"/>
    </row>
    <row r="604" spans="1:21">
      <c r="A604" s="153"/>
      <c r="C604" s="349"/>
      <c r="D604" s="349"/>
      <c r="K604" s="350"/>
      <c r="N604" s="156"/>
      <c r="O604" s="351"/>
      <c r="U604" s="185"/>
    </row>
    <row r="605" spans="1:21">
      <c r="A605" s="153"/>
      <c r="C605" s="349"/>
      <c r="D605" s="349"/>
      <c r="K605" s="350"/>
      <c r="N605" s="156"/>
      <c r="O605" s="351"/>
      <c r="U605" s="185"/>
    </row>
    <row r="606" spans="1:21">
      <c r="A606" s="153"/>
      <c r="C606" s="349"/>
      <c r="D606" s="349"/>
      <c r="K606" s="350"/>
      <c r="N606" s="156"/>
      <c r="O606" s="351"/>
      <c r="U606" s="185"/>
    </row>
    <row r="607" spans="1:21">
      <c r="A607" s="153"/>
      <c r="C607" s="349"/>
      <c r="D607" s="349"/>
      <c r="K607" s="350"/>
      <c r="N607" s="156"/>
      <c r="O607" s="351"/>
      <c r="U607" s="185"/>
    </row>
    <row r="608" spans="1:21">
      <c r="A608" s="153"/>
      <c r="C608" s="349"/>
      <c r="D608" s="349"/>
      <c r="K608" s="350"/>
      <c r="N608" s="156"/>
      <c r="O608" s="351"/>
      <c r="U608" s="185"/>
    </row>
    <row r="609" spans="1:21">
      <c r="A609" s="153"/>
      <c r="C609" s="349"/>
      <c r="D609" s="349"/>
      <c r="K609" s="350"/>
      <c r="N609" s="156"/>
      <c r="O609" s="351"/>
      <c r="U609" s="185"/>
    </row>
    <row r="610" spans="1:21" ht="14.25" customHeight="1">
      <c r="A610" s="153"/>
      <c r="C610" s="349"/>
      <c r="D610" s="349"/>
      <c r="K610" s="350"/>
      <c r="N610" s="156"/>
      <c r="O610" s="351"/>
      <c r="U610" s="185"/>
    </row>
    <row r="611" spans="1:21" ht="14.25" customHeight="1">
      <c r="A611" s="153"/>
      <c r="C611" s="349"/>
      <c r="D611" s="349"/>
      <c r="K611" s="350"/>
      <c r="N611" s="156"/>
      <c r="O611" s="351"/>
      <c r="U611" s="185"/>
    </row>
    <row r="612" spans="1:21" ht="14.25" customHeight="1">
      <c r="A612" s="153"/>
      <c r="C612" s="349"/>
      <c r="D612" s="349"/>
      <c r="K612" s="350"/>
      <c r="N612" s="156"/>
      <c r="O612" s="351"/>
      <c r="U612" s="185"/>
    </row>
    <row r="613" spans="1:21">
      <c r="A613" s="153"/>
      <c r="C613" s="349"/>
      <c r="D613" s="349"/>
      <c r="K613" s="350"/>
      <c r="N613" s="156"/>
      <c r="O613" s="351"/>
      <c r="U613" s="185"/>
    </row>
    <row r="614" spans="1:21">
      <c r="A614" s="153"/>
      <c r="C614" s="349"/>
      <c r="D614" s="349"/>
      <c r="K614" s="350"/>
      <c r="N614" s="610"/>
      <c r="O614" s="613"/>
      <c r="U614" s="185"/>
    </row>
    <row r="615" spans="1:21">
      <c r="A615" s="153"/>
      <c r="C615" s="349"/>
      <c r="D615" s="349"/>
      <c r="K615" s="350"/>
      <c r="N615" s="156"/>
      <c r="O615" s="351"/>
      <c r="U615" s="185"/>
    </row>
    <row r="616" spans="1:21">
      <c r="A616" s="153"/>
      <c r="C616" s="349"/>
      <c r="D616" s="349"/>
      <c r="K616" s="350"/>
      <c r="N616" s="610"/>
      <c r="O616" s="613"/>
      <c r="U616" s="185"/>
    </row>
    <row r="617" spans="1:21">
      <c r="A617" s="153"/>
      <c r="C617" s="349"/>
      <c r="D617" s="349"/>
      <c r="K617" s="350"/>
      <c r="N617" s="610"/>
      <c r="O617" s="613"/>
      <c r="U617" s="185"/>
    </row>
    <row r="618" spans="1:21" ht="10.8" thickBot="1">
      <c r="A618" s="279"/>
      <c r="B618" s="165"/>
      <c r="C618" s="549"/>
      <c r="D618" s="549"/>
      <c r="E618" s="165"/>
      <c r="F618" s="165"/>
      <c r="G618" s="166"/>
      <c r="H618" s="165"/>
      <c r="I618" s="165"/>
      <c r="J618" s="165"/>
      <c r="K618" s="578"/>
      <c r="L618" s="165"/>
      <c r="M618" s="165"/>
      <c r="N618" s="428"/>
      <c r="O618" s="582"/>
      <c r="P618" s="165"/>
      <c r="Q618" s="165"/>
      <c r="R618" s="166"/>
      <c r="S618" s="166"/>
      <c r="T618" s="166"/>
      <c r="U618" s="190"/>
    </row>
    <row r="619" spans="1:21">
      <c r="C619" s="349"/>
      <c r="D619" s="349"/>
      <c r="K619" s="350"/>
      <c r="N619" s="610"/>
      <c r="O619" s="613"/>
    </row>
    <row r="620" spans="1:21" ht="10.8" thickBot="1">
      <c r="C620" s="349"/>
      <c r="D620" s="349"/>
      <c r="K620" s="350"/>
      <c r="N620" s="156"/>
      <c r="O620" s="351"/>
    </row>
    <row r="621" spans="1:21">
      <c r="A621" s="514"/>
      <c r="B621" s="196"/>
      <c r="C621" s="550"/>
      <c r="D621" s="550"/>
      <c r="E621" s="196"/>
      <c r="F621" s="196"/>
      <c r="G621" s="198"/>
      <c r="H621" s="196"/>
      <c r="I621" s="196"/>
      <c r="J621" s="196"/>
      <c r="K621" s="579"/>
      <c r="L621" s="196"/>
      <c r="M621" s="196"/>
      <c r="N621" s="431"/>
      <c r="O621" s="583"/>
      <c r="P621" s="196"/>
      <c r="Q621" s="196"/>
      <c r="R621" s="198"/>
      <c r="S621" s="198"/>
      <c r="T621" s="198"/>
      <c r="U621" s="183"/>
    </row>
    <row r="622" spans="1:21">
      <c r="A622" s="153" t="s">
        <v>202</v>
      </c>
      <c r="B622" s="139" t="s">
        <v>357</v>
      </c>
      <c r="C622" s="352">
        <v>38479</v>
      </c>
      <c r="D622" s="352">
        <v>38486</v>
      </c>
      <c r="J622" s="139" t="s">
        <v>19</v>
      </c>
      <c r="K622" s="139" t="s">
        <v>358</v>
      </c>
      <c r="N622" s="156" t="s">
        <v>359</v>
      </c>
      <c r="O622" s="157">
        <v>460</v>
      </c>
      <c r="R622" s="140">
        <v>1</v>
      </c>
      <c r="S622" s="140">
        <v>2</v>
      </c>
      <c r="U622" s="185" t="s">
        <v>232</v>
      </c>
    </row>
    <row r="623" spans="1:21">
      <c r="A623" s="153"/>
      <c r="C623" s="352">
        <v>38535</v>
      </c>
      <c r="D623" s="352">
        <v>38542</v>
      </c>
      <c r="H623" s="139" t="s">
        <v>360</v>
      </c>
      <c r="J623" s="139" t="s">
        <v>19</v>
      </c>
      <c r="N623" s="156"/>
      <c r="O623" s="157">
        <v>860</v>
      </c>
      <c r="R623" s="140">
        <v>1</v>
      </c>
      <c r="U623" s="185"/>
    </row>
    <row r="624" spans="1:21">
      <c r="A624" s="153"/>
      <c r="O624" s="161">
        <f>SUM(O437:O623)</f>
        <v>692</v>
      </c>
      <c r="P624" s="585">
        <f>O624*P253</f>
        <v>0</v>
      </c>
      <c r="R624" s="138">
        <f>SUM(R437:R623)</f>
        <v>2</v>
      </c>
      <c r="U624" s="185"/>
    </row>
    <row r="625" spans="1:21">
      <c r="A625" s="153"/>
      <c r="U625" s="185"/>
    </row>
    <row r="626" spans="1:21">
      <c r="A626" s="153"/>
      <c r="U626" s="185"/>
    </row>
    <row r="627" spans="1:21">
      <c r="A627" s="619" t="s">
        <v>234</v>
      </c>
      <c r="U627" s="185"/>
    </row>
    <row r="628" spans="1:21" ht="10.8" thickBot="1">
      <c r="A628" s="279"/>
      <c r="B628" s="165"/>
      <c r="C628" s="280"/>
      <c r="D628" s="280"/>
      <c r="E628" s="165"/>
      <c r="F628" s="165"/>
      <c r="G628" s="166"/>
      <c r="H628" s="165"/>
      <c r="I628" s="165"/>
      <c r="J628" s="165"/>
      <c r="K628" s="165"/>
      <c r="L628" s="165"/>
      <c r="M628" s="165"/>
      <c r="N628" s="165"/>
      <c r="O628" s="163">
        <f>SUM(O622:O627)</f>
        <v>2012</v>
      </c>
      <c r="P628" s="165"/>
      <c r="Q628" s="165"/>
      <c r="R628" s="164">
        <f>SUM(R622:R627)</f>
        <v>4</v>
      </c>
      <c r="S628" s="166"/>
      <c r="T628" s="166"/>
      <c r="U628" s="190"/>
    </row>
    <row r="630" spans="1:21">
      <c r="O630" s="139">
        <f>7500*0.75</f>
        <v>5625</v>
      </c>
    </row>
    <row r="631" spans="1:21">
      <c r="A631" s="139" t="s">
        <v>467</v>
      </c>
      <c r="O631" s="353"/>
    </row>
    <row r="632" spans="1:21">
      <c r="A632" s="139" t="s">
        <v>468</v>
      </c>
      <c r="N632" s="139" t="s">
        <v>469</v>
      </c>
    </row>
    <row r="640" spans="1:21">
      <c r="A640" s="136"/>
      <c r="B640" s="136"/>
      <c r="C640" s="137"/>
      <c r="D640" s="137"/>
      <c r="E640" s="136"/>
      <c r="F640" s="136"/>
      <c r="G640" s="138"/>
      <c r="H640" s="136"/>
      <c r="I640" s="136"/>
      <c r="J640" s="136"/>
      <c r="K640" s="136"/>
      <c r="L640" s="136"/>
      <c r="M640" s="136"/>
      <c r="N640" s="136"/>
    </row>
    <row r="641" spans="3:14">
      <c r="N641" s="156"/>
    </row>
    <row r="642" spans="3:14">
      <c r="N642" s="156"/>
    </row>
    <row r="643" spans="3:14">
      <c r="C643" s="139"/>
      <c r="D643" s="139"/>
      <c r="N643" s="156"/>
    </row>
    <row r="644" spans="3:14">
      <c r="C644" s="139"/>
      <c r="D644" s="139"/>
      <c r="N644" s="156"/>
    </row>
    <row r="645" spans="3:14">
      <c r="C645" s="139"/>
      <c r="D645" s="139"/>
      <c r="N645" s="156"/>
    </row>
    <row r="646" spans="3:14">
      <c r="C646" s="139"/>
      <c r="D646" s="139"/>
      <c r="N646" s="156"/>
    </row>
    <row r="647" spans="3:14">
      <c r="C647" s="139"/>
      <c r="D647" s="139"/>
      <c r="N647" s="156"/>
    </row>
    <row r="648" spans="3:14">
      <c r="C648" s="139"/>
      <c r="D648" s="139"/>
      <c r="N648" s="156"/>
    </row>
    <row r="649" spans="3:14">
      <c r="C649" s="139"/>
      <c r="D649" s="139"/>
      <c r="N649" s="156"/>
    </row>
    <row r="650" spans="3:14">
      <c r="C650" s="139"/>
      <c r="D650" s="139"/>
      <c r="N650" s="156"/>
    </row>
    <row r="651" spans="3:14">
      <c r="C651" s="139"/>
      <c r="D651" s="139"/>
      <c r="N651" s="156"/>
    </row>
    <row r="652" spans="3:14">
      <c r="C652" s="139"/>
      <c r="D652" s="139"/>
      <c r="N652" s="156"/>
    </row>
    <row r="653" spans="3:14">
      <c r="C653" s="139"/>
      <c r="D653" s="139"/>
      <c r="N653" s="156"/>
    </row>
    <row r="654" spans="3:14">
      <c r="C654" s="139"/>
      <c r="D654" s="139"/>
      <c r="N654" s="156"/>
    </row>
    <row r="655" spans="3:14">
      <c r="C655" s="139"/>
      <c r="D655" s="139"/>
      <c r="N655" s="156"/>
    </row>
    <row r="656" spans="3:14">
      <c r="C656" s="139"/>
      <c r="D656" s="139"/>
      <c r="N656" s="156"/>
    </row>
    <row r="657" spans="3:14">
      <c r="C657" s="139"/>
      <c r="D657" s="139"/>
      <c r="N657" s="156"/>
    </row>
    <row r="658" spans="3:14">
      <c r="C658" s="139"/>
      <c r="D658" s="139"/>
      <c r="N658" s="156"/>
    </row>
    <row r="659" spans="3:14">
      <c r="C659" s="139"/>
      <c r="D659" s="139"/>
      <c r="N659" s="156"/>
    </row>
    <row r="660" spans="3:14">
      <c r="C660" s="139"/>
      <c r="D660" s="139"/>
      <c r="N660" s="156"/>
    </row>
    <row r="661" spans="3:14">
      <c r="C661" s="139"/>
      <c r="D661" s="139"/>
      <c r="N661" s="156"/>
    </row>
    <row r="662" spans="3:14">
      <c r="C662" s="139"/>
      <c r="D662" s="139"/>
      <c r="N662" s="156"/>
    </row>
    <row r="663" spans="3:14">
      <c r="C663" s="139"/>
      <c r="D663" s="139"/>
      <c r="N663" s="156"/>
    </row>
    <row r="664" spans="3:14">
      <c r="C664" s="139"/>
      <c r="D664" s="139"/>
      <c r="N664" s="156"/>
    </row>
    <row r="665" spans="3:14">
      <c r="C665" s="139"/>
      <c r="D665" s="139"/>
      <c r="N665" s="156"/>
    </row>
    <row r="666" spans="3:14">
      <c r="C666" s="139"/>
      <c r="D666" s="139"/>
      <c r="N666" s="156"/>
    </row>
  </sheetData>
  <sortState xmlns:xlrd2="http://schemas.microsoft.com/office/spreadsheetml/2017/richdata2" ref="A2:Z666">
    <sortCondition ref="I2:I666"/>
  </sortState>
  <conditionalFormatting sqref="B82 B115 B147 B190 B246 B310 B388">
    <cfRule type="cellIs" dxfId="21" priority="18" stopIfTrue="1" operator="greaterThanOrEqual">
      <formula>0</formula>
    </cfRule>
    <cfRule type="cellIs" dxfId="20" priority="19" stopIfTrue="1" operator="lessThan">
      <formula>0</formula>
    </cfRule>
  </conditionalFormatting>
  <conditionalFormatting sqref="B83 B116 B148 B191 B247 B311 B389 B431">
    <cfRule type="cellIs" dxfId="19" priority="20" stopIfTrue="1" operator="between">
      <formula>0</formula>
      <formula>1000</formula>
    </cfRule>
    <cfRule type="cellIs" dxfId="18" priority="21" stopIfTrue="1" operator="between">
      <formula>1000</formula>
      <formula>2000</formula>
    </cfRule>
    <cfRule type="cellIs" dxfId="17" priority="22" stopIfTrue="1" operator="greaterThan">
      <formula>2000</formula>
    </cfRule>
  </conditionalFormatting>
  <conditionalFormatting sqref="B430">
    <cfRule type="cellIs" dxfId="16" priority="16" stopIfTrue="1" operator="greaterThanOrEqual">
      <formula>0</formula>
    </cfRule>
    <cfRule type="cellIs" dxfId="15" priority="17" stopIfTrue="1" operator="lessThan">
      <formula>0</formula>
    </cfRule>
  </conditionalFormatting>
  <conditionalFormatting sqref="B465">
    <cfRule type="cellIs" dxfId="14" priority="11" stopIfTrue="1" operator="greaterThanOrEqual">
      <formula>0</formula>
    </cfRule>
    <cfRule type="cellIs" dxfId="13" priority="12" stopIfTrue="1" operator="lessThan">
      <formula>0</formula>
    </cfRule>
  </conditionalFormatting>
  <conditionalFormatting sqref="B466">
    <cfRule type="cellIs" dxfId="12" priority="13" stopIfTrue="1" operator="between">
      <formula>0</formula>
      <formula>1000</formula>
    </cfRule>
    <cfRule type="cellIs" dxfId="11" priority="14" stopIfTrue="1" operator="between">
      <formula>1000</formula>
      <formula>2000</formula>
    </cfRule>
    <cfRule type="cellIs" dxfId="10" priority="15" stopIfTrue="1" operator="greaterThan">
      <formula>2000</formula>
    </cfRule>
  </conditionalFormatting>
  <conditionalFormatting sqref="B508">
    <cfRule type="cellIs" dxfId="9" priority="6" stopIfTrue="1" operator="greaterThanOrEqual">
      <formula>0</formula>
    </cfRule>
    <cfRule type="cellIs" dxfId="8" priority="7" stopIfTrue="1" operator="lessThan">
      <formula>0</formula>
    </cfRule>
  </conditionalFormatting>
  <conditionalFormatting sqref="B509">
    <cfRule type="cellIs" dxfId="7" priority="8" stopIfTrue="1" operator="between">
      <formula>0</formula>
      <formula>1000</formula>
    </cfRule>
    <cfRule type="cellIs" dxfId="6" priority="9" stopIfTrue="1" operator="between">
      <formula>1000</formula>
      <formula>2000</formula>
    </cfRule>
    <cfRule type="cellIs" dxfId="5" priority="10" stopIfTrue="1" operator="greaterThan">
      <formula>2000</formula>
    </cfRule>
  </conditionalFormatting>
  <conditionalFormatting sqref="B555">
    <cfRule type="cellIs" dxfId="4" priority="1" stopIfTrue="1" operator="greaterThanOrEqual">
      <formula>0</formula>
    </cfRule>
    <cfRule type="cellIs" dxfId="3" priority="2" stopIfTrue="1" operator="lessThan">
      <formula>0</formula>
    </cfRule>
  </conditionalFormatting>
  <conditionalFormatting sqref="B556">
    <cfRule type="cellIs" dxfId="2" priority="3" stopIfTrue="1" operator="between">
      <formula>0</formula>
      <formula>1000</formula>
    </cfRule>
    <cfRule type="cellIs" dxfId="1" priority="4" stopIfTrue="1" operator="between">
      <formula>1000</formula>
      <formula>2000</formula>
    </cfRule>
    <cfRule type="cellIs" dxfId="0" priority="5" stopIfTrue="1" operator="greaterThan">
      <formula>2000</formula>
    </cfRule>
  </conditionalFormatting>
  <hyperlinks>
    <hyperlink ref="N2" r:id="rId1" xr:uid="{18BE72BF-B381-4A47-9D59-B870E50A7B7A}"/>
    <hyperlink ref="N269" r:id="rId2" xr:uid="{504F83C6-2D24-4967-AFE4-66F32D421D71}"/>
    <hyperlink ref="N147" r:id="rId3" xr:uid="{948BE0BB-D313-4CEB-932E-EFDB45A66D1A}"/>
    <hyperlink ref="N5" r:id="rId4" xr:uid="{9A5B9F52-5B6A-40D1-BE7B-646A3987DEBC}"/>
    <hyperlink ref="N3" r:id="rId5" xr:uid="{87FE6139-DCFA-47DA-9557-8CF4E2CBECFF}"/>
    <hyperlink ref="N146" r:id="rId6" xr:uid="{4F3FC39C-7001-418A-8362-AABDCAF792E1}"/>
    <hyperlink ref="N268" r:id="rId7" xr:uid="{6191F808-0782-4587-AF7B-FB10503D62E5}"/>
    <hyperlink ref="N270" r:id="rId8" xr:uid="{FCF7102C-0B21-417F-A5EB-FE33F2DB3C8B}"/>
    <hyperlink ref="N9" r:id="rId9" xr:uid="{1CD4A76E-0A2F-416A-B482-192AFDD930CF}"/>
    <hyperlink ref="N152" r:id="rId10" xr:uid="{6EC3E9CD-20E5-4C91-AB55-DF34FC1BF33F}"/>
    <hyperlink ref="N7" r:id="rId11" xr:uid="{FB369601-33A6-4F01-954B-57912A8BB7B2}"/>
    <hyperlink ref="N153" r:id="rId12" xr:uid="{4626E116-5BF7-4DD0-94CA-3DD18288B07E}"/>
    <hyperlink ref="N14" r:id="rId13" xr:uid="{95465E8D-CD5C-4B31-82AF-281A281F64AC}"/>
    <hyperlink ref="N8" r:id="rId14" xr:uid="{94A6C500-23A6-4FD7-BCCB-0138EC7F93B5}"/>
    <hyperlink ref="N241" r:id="rId15" xr:uid="{BAC9D136-B9EE-4910-A63C-D1F8A9113A71}"/>
    <hyperlink ref="N11" r:id="rId16" xr:uid="{4159FC37-A0BB-4E88-80D4-FCD7A6960C1F}"/>
    <hyperlink ref="N13" r:id="rId17" xr:uid="{FE08C479-7D60-4A3F-AEE7-75EBACDE9904}"/>
    <hyperlink ref="N15" r:id="rId18" xr:uid="{96D4B02A-3992-468E-BF39-7F127203E24E}"/>
    <hyperlink ref="N272" r:id="rId19" xr:uid="{39C3301F-F451-45B5-94DF-2A17916DD366}"/>
    <hyperlink ref="N16" r:id="rId20" xr:uid="{1D9CF17A-7CA7-43DC-84DD-59E1B35BB30E}"/>
    <hyperlink ref="N242" r:id="rId21" xr:uid="{12ABB0B7-5ABB-4410-A03D-370382B84737}"/>
    <hyperlink ref="N354" r:id="rId22" xr:uid="{D6DEE3EB-D392-49E6-A9AA-1E2E351C41D7}"/>
    <hyperlink ref="N23" r:id="rId23" xr:uid="{68E3E73F-F114-46EB-B3C4-27D30415CD55}"/>
    <hyperlink ref="N353" r:id="rId24" xr:uid="{E8F17E2D-312A-4A06-B1AD-BA0A610BCDF0}"/>
    <hyperlink ref="N24" r:id="rId25" xr:uid="{29D372C3-834A-4274-9A14-D9B0DB508FD8}"/>
    <hyperlink ref="N155" r:id="rId26" xr:uid="{C2D99AC8-24A9-4E6E-8DEC-448A4C3977E7}"/>
    <hyperlink ref="N17" r:id="rId27" xr:uid="{D55A0E0C-8DAC-42E7-9AEA-CBC0FAA42D35}"/>
    <hyperlink ref="N18" r:id="rId28" xr:uid="{A9EC9F47-3980-42D8-BCC5-4D7164F9C825}"/>
    <hyperlink ref="N20" r:id="rId29" xr:uid="{180688D6-B70C-4BF4-B208-57E57692B137}"/>
    <hyperlink ref="N274" r:id="rId30" xr:uid="{269CB923-029D-47B9-82DD-996920FFE13B}"/>
    <hyperlink ref="N243" r:id="rId31" xr:uid="{65FA9931-0F7C-4E04-A90C-579A2E2C0D67}"/>
    <hyperlink ref="N159" r:id="rId32" xr:uid="{CF9051B7-26DF-4DC7-919A-4434E1CF8AB2}"/>
    <hyperlink ref="N156" r:id="rId33" xr:uid="{894D7F16-EC6D-4ACA-AD37-851292772070}"/>
    <hyperlink ref="N25" r:id="rId34" xr:uid="{6E082398-D14C-4B01-A5D8-A0439177E776}"/>
    <hyperlink ref="N161" r:id="rId35" xr:uid="{1082194E-AAE1-4072-8671-67200C992F50}"/>
    <hyperlink ref="N158" r:id="rId36" xr:uid="{D25F1163-EE24-4946-A12D-7ED3DF01526D}"/>
    <hyperlink ref="N157" r:id="rId37" xr:uid="{78E54FB2-093E-40EE-8B7D-49F4A22CD55B}"/>
    <hyperlink ref="N160" r:id="rId38" xr:uid="{BB600F72-54A5-4059-B90D-7EE6A0361E9B}"/>
    <hyperlink ref="N277" r:id="rId39" xr:uid="{EFC0CE8B-9F2D-45EC-B8DF-F6AB401C4816}"/>
    <hyperlink ref="N32" r:id="rId40" xr:uid="{DB7CBF10-A4A5-4365-9316-8A3DA6963485}"/>
    <hyperlink ref="N163" r:id="rId41" xr:uid="{F029D429-D995-4410-A72D-0B50B5D4D10A}"/>
    <hyperlink ref="N162" r:id="rId42" display="mailto:kiki.tipunch@wanadoo.fr" xr:uid="{AA4F8889-DFAC-43E1-8C43-DDB09FB894FE}"/>
    <hyperlink ref="N278" r:id="rId43" xr:uid="{BDE0D4CE-FEBE-4B8E-8F73-4DD3E238D930}"/>
    <hyperlink ref="N27" r:id="rId44" xr:uid="{31E100E8-AEAA-4CDB-B2A6-35427D223B0D}"/>
    <hyperlink ref="N261" r:id="rId45" xr:uid="{97C59BF0-0845-411B-934B-15AA87B0AB99}"/>
    <hyperlink ref="N30" r:id="rId46" xr:uid="{09D75A95-7457-40E8-8CEB-734A048E4C4C}"/>
    <hyperlink ref="N137" r:id="rId47" xr:uid="{1AB38751-CDB5-4472-A99F-D80CBE2B20D4}"/>
    <hyperlink ref="N166" r:id="rId48" display="duchenenicola@yahoo.fr " xr:uid="{22D0611E-81A3-4020-9FE4-E76F5ED37D6B}"/>
    <hyperlink ref="N244" r:id="rId49" xr:uid="{B5C62379-C0F0-44DD-A690-4BC6ACDBBA1E}"/>
    <hyperlink ref="N35" r:id="rId50" xr:uid="{5027D91A-210D-467B-946A-9F97686F400B}"/>
    <hyperlink ref="N164" r:id="rId51" xr:uid="{567C2E4A-3238-452E-AF29-D7A5B00659AE}"/>
    <hyperlink ref="N31" r:id="rId52" xr:uid="{A321EB8E-E2CA-449C-B6B7-CA0E0E93E4D1}"/>
    <hyperlink ref="N279" r:id="rId53" xr:uid="{60D1864F-7907-4F6A-B0F9-F09DE5077F9E}"/>
    <hyperlink ref="N167" r:id="rId54" xr:uid="{9512A467-6C1D-45D3-A466-E09D6FBF63BF}"/>
    <hyperlink ref="N36" r:id="rId55" xr:uid="{D7360858-E89D-4496-A1EF-895FEEEB6194}"/>
    <hyperlink ref="N184" r:id="rId56" xr:uid="{D06F2375-DC5D-4970-B0C9-88A292D79547}"/>
    <hyperlink ref="N37" r:id="rId57" xr:uid="{7A84AEE6-EE3F-41AD-840E-0C0669862017}"/>
    <hyperlink ref="N263" r:id="rId58" xr:uid="{6C91A72F-A1C6-4F0B-860D-531A30DACFFA}"/>
    <hyperlink ref="N179" r:id="rId59" xr:uid="{0E8DCABD-31D3-4972-B0C2-73461A33A447}"/>
    <hyperlink ref="N44" r:id="rId60" xr:uid="{6D586473-89FC-40E1-ACDB-AA2ECE68B9E0}"/>
    <hyperlink ref="N39" r:id="rId61" xr:uid="{93260055-803A-4036-B460-0D6E09D0BD56}"/>
    <hyperlink ref="N168" r:id="rId62" xr:uid="{4111B7C8-B636-40DC-ADC1-ACC0F7202D07}"/>
    <hyperlink ref="N415" r:id="rId63" xr:uid="{A2D4B17D-9D49-4FE5-AF06-BF6D2F73B821}"/>
    <hyperlink ref="N139" r:id="rId64" xr:uid="{DAD24CDA-D5B7-4E7E-B389-0A9F11D35365}"/>
    <hyperlink ref="N186" r:id="rId65" xr:uid="{64A142C4-D2FA-4382-93CD-BD0B44A13F06}"/>
    <hyperlink ref="N185" r:id="rId66" xr:uid="{CD7371E0-BE1E-40DE-97BA-A0ADAD120921}"/>
    <hyperlink ref="N138" r:id="rId67" xr:uid="{8CA29F80-1695-436F-B960-DADE87E03A74}"/>
    <hyperlink ref="N40" r:id="rId68" xr:uid="{9E07F9CD-544D-493A-A336-E61D0E2A847A}"/>
    <hyperlink ref="N41" r:id="rId69" tooltip="blocked::mailto:praestk@aol.com" display="mailto:praestk@aol.com" xr:uid="{8061C059-208E-4FC2-B8BD-739C4987EF22}"/>
    <hyperlink ref="N239" r:id="rId70" display="erwanhubert@free.fr" xr:uid="{3679D85A-509A-42EC-8340-FD928CF37400}"/>
    <hyperlink ref="N50" r:id="rId71" xr:uid="{C87DB4FC-A205-4607-8CFB-E785F4948412}"/>
    <hyperlink ref="N43" r:id="rId72" xr:uid="{2CC72DFD-D28D-4BEC-B272-5A108DBE620B}"/>
    <hyperlink ref="N306" r:id="rId73" xr:uid="{47448099-EFAC-44D4-B4DB-E9F92AFDC896}"/>
    <hyperlink ref="N47" r:id="rId74" xr:uid="{D0FE93D3-0D81-47D8-9EE6-086E1D8E22CE}"/>
    <hyperlink ref="N51" r:id="rId75" xr:uid="{4B2F2EA6-03EF-419A-9C39-E7B409567939}"/>
    <hyperlink ref="N56" r:id="rId76" xr:uid="{889C4684-137F-439F-B65D-122E756154A4}"/>
    <hyperlink ref="N143" r:id="rId77" xr:uid="{4A6DA6AC-306D-4F7A-A09E-CDFA84334EB8}"/>
    <hyperlink ref="N140" r:id="rId78" xr:uid="{F3A3A6F0-8BD6-48A3-BDC9-44AEA33FA7FA}"/>
    <hyperlink ref="N53" r:id="rId79" xr:uid="{BB8EE90B-3145-4007-A991-9324620EE5FF}"/>
    <hyperlink ref="N187" r:id="rId80" xr:uid="{3FBC4F8C-BA20-4AB2-AD4C-E45E0F08BD17}"/>
    <hyperlink ref="N52" r:id="rId81" xr:uid="{D1E7DF78-AC32-43FB-8A19-73357F1E6F05}"/>
    <hyperlink ref="N55" r:id="rId82" xr:uid="{B4A35FDA-8464-470D-B81A-22AD86CC6583}"/>
    <hyperlink ref="N282" r:id="rId83" xr:uid="{C98BC56E-0744-42FE-B079-8C499F06B6F4}"/>
    <hyperlink ref="N54" r:id="rId84" xr:uid="{6EE2872F-B159-4A4D-8C1E-9BAEE81F7961}"/>
    <hyperlink ref="N189" r:id="rId85" xr:uid="{CBED8B6F-D393-49AC-B53B-90C97243931D}"/>
    <hyperlink ref="N303" r:id="rId86" display="erwanhubert@free.fr" xr:uid="{5CD126AF-A49D-4B8F-B100-BC9A3046D93E}"/>
    <hyperlink ref="N62" r:id="rId87" xr:uid="{6C7C2222-D9B1-4CA7-8C5F-EAFD0A449F68}"/>
    <hyperlink ref="N64" r:id="rId88" xr:uid="{E5635D0C-D394-463C-ABAD-48042AC8B0CC}"/>
    <hyperlink ref="N65" r:id="rId89" xr:uid="{FC35E4FA-C90D-4D9C-BAA0-43493D6B3298}"/>
    <hyperlink ref="N305" r:id="rId90" xr:uid="{63B78270-E2D0-416B-8528-A683800CDD0F}"/>
    <hyperlink ref="N57" r:id="rId91" xr:uid="{1F5BB670-DB8A-43E3-9D01-82B240E821DA}"/>
    <hyperlink ref="N58" r:id="rId92" xr:uid="{2E388FE8-8E4C-4150-A607-EA6BF6A4D35F}"/>
    <hyperlink ref="N192" r:id="rId93" xr:uid="{9BE6C28B-E75E-4410-AC10-B03F7688E0FD}"/>
    <hyperlink ref="N247" r:id="rId94" xr:uid="{1D741A8D-93DC-4CBD-AA1C-FB5C64FCF70B}"/>
    <hyperlink ref="N249" r:id="rId95" xr:uid="{24C04FB9-924C-403F-AFBE-074919AA1693}"/>
    <hyperlink ref="N60" r:id="rId96" xr:uid="{9283FB04-3F19-4CB5-B9FA-0F72AFE4A3C2}"/>
    <hyperlink ref="N63" r:id="rId97" xr:uid="{AB399B02-3656-43A7-9EB2-4CC6D40F79BD}"/>
    <hyperlink ref="N264" r:id="rId98" xr:uid="{58F25FA3-7755-421E-A243-8CB3956802DC}"/>
    <hyperlink ref="N191" r:id="rId99" xr:uid="{2F8B8B6E-8B20-4FE8-97A6-C44A1EEB7489}"/>
    <hyperlink ref="N248" r:id="rId100" xr:uid="{5494F253-5325-4852-B71F-0F0433748CE9}"/>
    <hyperlink ref="N190" r:id="rId101" xr:uid="{DCBC8CF8-E5EE-451A-9EC8-85A18A8AE4F4}"/>
    <hyperlink ref="N193" r:id="rId102" xr:uid="{0CFFE827-1C34-4AD5-8868-737407D5C236}"/>
    <hyperlink ref="N66" r:id="rId103" xr:uid="{2643A855-4FF1-482B-AE12-59848AF87383}"/>
    <hyperlink ref="N61" r:id="rId104" xr:uid="{A3E97633-C834-4383-A2A2-EDE392742AC2}"/>
    <hyperlink ref="N265" r:id="rId105" xr:uid="{6BCFEA0C-96B9-4F8B-9E2D-882C3696978F}"/>
    <hyperlink ref="N67" r:id="rId106" xr:uid="{C83FE107-0BA5-4CC0-8E1E-E12E7E9BDE02}"/>
    <hyperlink ref="N317" r:id="rId107" xr:uid="{85C57781-97D2-44B2-AE31-F6973EF53EE8}"/>
    <hyperlink ref="N250" r:id="rId108" xr:uid="{47567A8C-9233-4018-8D7A-9E423F87AF54}"/>
    <hyperlink ref="N68" r:id="rId109" xr:uid="{33DD0053-A4CD-491D-969E-F4BFD1775389}"/>
    <hyperlink ref="N381" r:id="rId110" display="erwanhubert@free.fr" xr:uid="{4392610E-16E6-4671-AC56-52BA6EFC33F7}"/>
    <hyperlink ref="N70" r:id="rId111" xr:uid="{1F7AF7D3-321C-4389-8480-96D124D1A362}"/>
    <hyperlink ref="N194" r:id="rId112" xr:uid="{D5584369-8F1C-4DB0-874A-84734D9B463D}"/>
    <hyperlink ref="N308" r:id="rId113" xr:uid="{77176532-5536-489A-A979-344676DC85B4}"/>
    <hyperlink ref="N307" r:id="rId114" xr:uid="{1C3FFF99-ED60-4A85-8CA7-E8AC77DCF11B}"/>
    <hyperlink ref="N73" r:id="rId115" xr:uid="{CF5AADB1-F04A-4BA5-8A2E-D213F9E3750E}"/>
    <hyperlink ref="N251" r:id="rId116" xr:uid="{2A9DEABE-E003-4D3B-A1E1-6CC5DC3AE617}"/>
    <hyperlink ref="N196" r:id="rId117" xr:uid="{D372C971-5B22-4D90-9204-36747D600E92}"/>
    <hyperlink ref="N197" r:id="rId118" xr:uid="{9A14369B-9DF3-4DCC-982E-840294F83E94}"/>
    <hyperlink ref="N129" r:id="rId119" xr:uid="{6D7EA478-C805-4FA1-956F-AF302969EDDA}"/>
    <hyperlink ref="N212" r:id="rId120" xr:uid="{19E2E8F9-7344-40E8-89AB-693A27C99B9C}"/>
    <hyperlink ref="N131" r:id="rId121" xr:uid="{36FAB100-D059-4EA7-AAFB-551C1CF83CE2}"/>
    <hyperlink ref="N130" r:id="rId122" xr:uid="{B8190A63-5531-436C-92C1-BED89AC08AD9}"/>
    <hyperlink ref="N215" r:id="rId123" xr:uid="{F02CFC15-90EC-41E6-B987-A026AAA44927}"/>
    <hyperlink ref="N127" r:id="rId124" xr:uid="{03E49E87-3BFB-45D2-B999-2F91D1A715A4}"/>
    <hyperlink ref="N259" r:id="rId125" xr:uid="{8F72CE7C-D4B2-4CFD-A2F0-9E388BD153F5}"/>
    <hyperlink ref="N213" r:id="rId126" xr:uid="{7A08D4BB-8828-40E6-823D-80BA5D2E15B5}"/>
    <hyperlink ref="N128" r:id="rId127" xr:uid="{7F61D21A-EEDB-48BF-A136-4C22D158C72D}"/>
    <hyperlink ref="N309" r:id="rId128" xr:uid="{AFC4765A-8848-41A4-92BF-AFDB72D1546C}"/>
    <hyperlink ref="N252" r:id="rId129" xr:uid="{386625FC-6E1F-42E9-95B9-6436C8970987}"/>
    <hyperlink ref="N71" r:id="rId130" xr:uid="{471713EC-E418-412C-81B1-92BCE41A25DE}"/>
    <hyperlink ref="N75" r:id="rId131" xr:uid="{9E3B833B-A903-4E1D-A58F-385F92DC112D}"/>
    <hyperlink ref="N90" r:id="rId132" display="mailto:sandra@rudelwohl-zach.de" xr:uid="{3A50C809-1F6B-4423-BECF-613D9AE106AC}"/>
    <hyperlink ref="N76" r:id="rId133" xr:uid="{B457DFB1-DDFB-479F-AD48-D83B0E8D890E}"/>
    <hyperlink ref="N199" r:id="rId134" xr:uid="{6D4A10B4-2F80-4DD2-B282-1E6A4E493C2E}"/>
    <hyperlink ref="N80" r:id="rId135" xr:uid="{78AA75D2-7684-4EF2-B476-C3A0D4AB03CC}"/>
    <hyperlink ref="N85" r:id="rId136" xr:uid="{9D8239E9-E07C-415C-BDCE-703DFBE84B94}"/>
    <hyperlink ref="N81" r:id="rId137" xr:uid="{D9B44957-F795-4408-8420-D365AE1BE4AE}"/>
    <hyperlink ref="N218" r:id="rId138" xr:uid="{4AE161DD-772A-4646-B2BC-D39CB52EC97B}"/>
    <hyperlink ref="N69" r:id="rId139" xr:uid="{BA6A537E-6E42-4BCE-9C3B-1701ECC2BB9D}"/>
    <hyperlink ref="N134" r:id="rId140" xr:uid="{519570A1-C40A-4ACB-A36B-0D90CEC65228}"/>
    <hyperlink ref="N253" r:id="rId141" xr:uid="{00C4B35D-1E79-45C5-881B-B12CDC84CFCB}"/>
    <hyperlink ref="N200" r:id="rId142" xr:uid="{DF421C71-00D8-4037-BCD3-859B47D24856}"/>
    <hyperlink ref="L82" r:id="rId143" display="tel:+4915115307260" xr:uid="{0B737607-CA48-4841-8CCE-98059B20FBF3}"/>
    <hyperlink ref="N89" r:id="rId144" display="mailto:gmmanzi@aol.com" xr:uid="{38A1FCCC-F2CC-49C8-9C61-331C60B16AE5}"/>
    <hyperlink ref="N88" r:id="rId145" xr:uid="{0F173337-4D5A-4D03-A025-174705680DA4}"/>
    <hyperlink ref="N201" r:id="rId146" xr:uid="{CB342540-2AE0-4FB3-BE8A-A7755E65C2C1}"/>
    <hyperlink ref="N83" r:id="rId147" xr:uid="{770ADDA3-71BD-448D-B77D-6B845BB221F5}"/>
    <hyperlink ref="N82" r:id="rId148" xr:uid="{6AD9787C-75C5-4403-A51E-AA6AD0FD01D0}"/>
    <hyperlink ref="N86" r:id="rId149" xr:uid="{6FEE8463-B88B-4287-AFD1-B49648F29908}"/>
    <hyperlink ref="N266" r:id="rId150" xr:uid="{DBAF7375-989B-45AD-B42D-B63A6C385D84}"/>
    <hyperlink ref="N94" r:id="rId151" display="mailto:michael.boller@hartmann-werkzeugmarkt.de" xr:uid="{FDB144B5-6157-4F43-A9D3-B60D89A8133C}"/>
    <hyperlink ref="N135" r:id="rId152" xr:uid="{DC2A5758-7BB9-4910-8084-326403542212}"/>
    <hyperlink ref="N93" r:id="rId153" xr:uid="{C90C73F6-8906-4DE3-86F0-3506E71E1E5A}"/>
    <hyperlink ref="N95" r:id="rId154" xr:uid="{09B408AC-F243-42C1-8BFC-048F142690DD}"/>
    <hyperlink ref="N91" r:id="rId155" xr:uid="{A56F63E6-3451-443B-9885-7A133FF57EDD}"/>
    <hyperlink ref="N310" r:id="rId156" xr:uid="{22343B52-8558-41F8-BC5D-4C0C2DDF5D6C}"/>
    <hyperlink ref="N99" r:id="rId157" xr:uid="{37CECA43-54A3-428E-BBE3-F828CC8637A0}"/>
    <hyperlink ref="N255" r:id="rId158" xr:uid="{5EA7FD60-2B2B-40EE-ABFF-0B6C1C7B6937}"/>
    <hyperlink ref="N102" r:id="rId159" xr:uid="{8FA71F5A-7CBD-4778-B2EF-850C0D39D187}"/>
    <hyperlink ref="N105" r:id="rId160" xr:uid="{67831AE6-9593-42F4-8595-EB50731A5D5D}"/>
    <hyperlink ref="N96" r:id="rId161" xr:uid="{6B293A50-3F5F-4BCB-A373-5B7316DF17F0}"/>
    <hyperlink ref="N133" r:id="rId162" xr:uid="{4CE5CF96-137C-4CD7-8532-1CB8FB404319}"/>
    <hyperlink ref="N101" r:id="rId163" xr:uid="{3FE0BBE4-C9E8-4841-9D51-0A421A2FB56F}"/>
    <hyperlink ref="N98" r:id="rId164" xr:uid="{117C0852-34FA-47C0-9699-6F04A9DF1A71}"/>
    <hyperlink ref="N103" r:id="rId165" xr:uid="{A2A365EE-78BB-48DC-938F-F47537C2C6F0}"/>
    <hyperlink ref="N136" r:id="rId166" xr:uid="{F72D66B6-3C1C-4C68-9339-86E9515A0691}"/>
    <hyperlink ref="N311" r:id="rId167" xr:uid="{FE55322C-CB68-4228-BA6C-BBA98156EA22}"/>
    <hyperlink ref="N100" r:id="rId168" xr:uid="{97FB0B84-C679-44E6-9FCE-5E379F3D6049}"/>
    <hyperlink ref="N254" r:id="rId169" xr:uid="{8B08185F-6962-440C-8BC7-54E26A99E5E6}"/>
    <hyperlink ref="N202" r:id="rId170" xr:uid="{C86E5EF6-8CE1-47D2-B17E-4F5DB55CF2A6}"/>
    <hyperlink ref="N107" r:id="rId171" xr:uid="{06C6473B-32BA-456B-8B76-5FFAAEBAB4BB}"/>
    <hyperlink ref="N106" r:id="rId172" xr:uid="{BC68FEFF-FC4A-4130-9E28-48A511F7EBBB}"/>
    <hyperlink ref="N256" r:id="rId173" xr:uid="{0E79CE85-D822-4F09-AC35-377764A6DD4E}"/>
    <hyperlink ref="N115" r:id="rId174" xr:uid="{32C17C46-0659-4C0C-B656-8B7B085955F1}"/>
    <hyperlink ref="N217" r:id="rId175" xr:uid="{7BB76DF3-D8BF-42E6-B3EE-133151D19DAA}"/>
    <hyperlink ref="N116" r:id="rId176" xr:uid="{D0957830-EECD-4FC0-A017-11D1B3FA772D}"/>
    <hyperlink ref="N113" r:id="rId177" xr:uid="{1412DDD5-5CFF-4B58-ADFA-486FC25DCFC4}"/>
    <hyperlink ref="N104" r:id="rId178" xr:uid="{636D25E1-027B-4D00-A0E0-E6399540B011}"/>
    <hyperlink ref="N315" r:id="rId179" xr:uid="{D49F4D1B-C39A-4C7C-AB4B-B92A823980EA}"/>
    <hyperlink ref="N111" r:id="rId180" xr:uid="{A799911F-FE40-4B97-8030-0E59B20BE83A}"/>
    <hyperlink ref="N122" r:id="rId181" xr:uid="{7F1961F4-6731-42A0-84A8-CA4A1832D5D8}"/>
    <hyperlink ref="N132" r:id="rId182" xr:uid="{B6FD66F5-3AD4-4EB3-943E-EE6457328B01}"/>
    <hyperlink ref="N108" r:id="rId183" xr:uid="{3DB4E9E1-72D3-4D9C-9015-B9B105B35BA9}"/>
    <hyperlink ref="N118" r:id="rId184" xr:uid="{277050E5-E99B-40BF-8999-BE9B18DE2CC5}"/>
    <hyperlink ref="N120" r:id="rId185" xr:uid="{41023A9F-E4F3-416F-ADD6-28CE7640CCE4}"/>
    <hyperlink ref="N109" r:id="rId186" xr:uid="{B3BF8F45-23F8-432F-8A17-74F246B2B14B}"/>
    <hyperlink ref="N114" r:id="rId187" xr:uid="{2F2CFBFE-BFE6-42C8-80E6-DDFFAC7E3EB8}"/>
    <hyperlink ref="N126" r:id="rId188" xr:uid="{71B5075A-4168-425A-A1C3-344A8DB5D13B}"/>
    <hyperlink ref="N142" r:id="rId189" xr:uid="{31544736-707A-483C-8ADC-7E40BA1E5EC1}"/>
    <hyperlink ref="N124" r:id="rId190" xr:uid="{4C4BC3DA-C8ED-4F2A-9A63-55B54BF1C0C6}"/>
    <hyperlink ref="N205" r:id="rId191" xr:uid="{615DA187-8312-4222-95AB-DBD33FEE315B}"/>
    <hyperlink ref="N125" r:id="rId192" xr:uid="{213F5B38-AB34-49F5-BDFB-D108218597D4}"/>
    <hyperlink ref="N258" r:id="rId193" xr:uid="{3C206CCA-97BB-4BE9-B38B-0371CB06FA0D}"/>
    <hyperlink ref="N622" r:id="rId194" xr:uid="{846A070F-2700-46C8-9D45-BA9D49CAEF9F}"/>
    <hyperlink ref="N110" r:id="rId195" xr:uid="{C9DD6ACE-D020-466A-A00A-5E430D6E1B0B}"/>
    <hyperlink ref="N257" r:id="rId196" xr:uid="{FE1452FD-2F06-483B-85BA-4EC4AA77E6E2}"/>
    <hyperlink ref="N314" r:id="rId197" xr:uid="{FEC508C4-DFAB-4F19-B7AE-0069F5019F7E}"/>
    <hyperlink ref="N313" r:id="rId198" xr:uid="{C898595D-F439-47B3-B6EE-F9B032E57450}"/>
    <hyperlink ref="N117" r:id="rId199" xr:uid="{5298DFB4-9DE6-47B2-B77E-5E86E55CD40A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3DA7C-BC43-4F3E-8E72-512BBABFFAFE}">
  <dimension ref="A1:G274"/>
  <sheetViews>
    <sheetView topLeftCell="A71" workbookViewId="0">
      <selection activeCell="G81" sqref="G81:G97"/>
    </sheetView>
  </sheetViews>
  <sheetFormatPr baseColWidth="10" defaultRowHeight="13.2"/>
  <sheetData>
    <row r="1" spans="1:7">
      <c r="A1" s="228" t="s">
        <v>683</v>
      </c>
      <c r="G1" s="156" t="s">
        <v>282</v>
      </c>
    </row>
    <row r="2" spans="1:7">
      <c r="A2" s="611" t="s">
        <v>1806</v>
      </c>
      <c r="G2" s="156" t="s">
        <v>275</v>
      </c>
    </row>
    <row r="3" spans="1:7">
      <c r="A3" s="294" t="s">
        <v>1690</v>
      </c>
      <c r="G3" s="156" t="s">
        <v>302</v>
      </c>
    </row>
    <row r="4" spans="1:7">
      <c r="A4" s="222" t="s">
        <v>760</v>
      </c>
      <c r="G4" s="222" t="s">
        <v>413</v>
      </c>
    </row>
    <row r="5" spans="1:7">
      <c r="A5" s="156" t="s">
        <v>293</v>
      </c>
      <c r="G5" s="147" t="s">
        <v>1203</v>
      </c>
    </row>
    <row r="6" spans="1:7">
      <c r="A6" s="128" t="s">
        <v>1878</v>
      </c>
      <c r="G6" s="580" t="s">
        <v>546</v>
      </c>
    </row>
    <row r="7" spans="1:7">
      <c r="A7" s="194" t="s">
        <v>1737</v>
      </c>
      <c r="G7" s="397" t="s">
        <v>1916</v>
      </c>
    </row>
    <row r="8" spans="1:7">
      <c r="A8" s="253" t="s">
        <v>1381</v>
      </c>
      <c r="G8" s="580" t="s">
        <v>492</v>
      </c>
    </row>
    <row r="9" spans="1:7">
      <c r="A9" s="306" t="s">
        <v>1743</v>
      </c>
      <c r="G9" s="294" t="s">
        <v>1506</v>
      </c>
    </row>
    <row r="10" spans="1:7">
      <c r="A10" s="580" t="s">
        <v>1290</v>
      </c>
      <c r="G10" s="147" t="s">
        <v>1168</v>
      </c>
    </row>
    <row r="11" spans="1:7">
      <c r="A11" s="147" t="s">
        <v>502</v>
      </c>
      <c r="G11" s="299" t="s">
        <v>1532</v>
      </c>
    </row>
    <row r="12" spans="1:7">
      <c r="A12" s="365" t="s">
        <v>1898</v>
      </c>
      <c r="G12" s="253" t="s">
        <v>1431</v>
      </c>
    </row>
    <row r="13" spans="1:7">
      <c r="A13" s="151" t="s">
        <v>409</v>
      </c>
      <c r="G13" s="294" t="s">
        <v>1684</v>
      </c>
    </row>
    <row r="14" spans="1:7">
      <c r="A14" s="151" t="s">
        <v>598</v>
      </c>
      <c r="G14" s="147" t="s">
        <v>990</v>
      </c>
    </row>
    <row r="15" spans="1:7">
      <c r="A15" s="222" t="s">
        <v>711</v>
      </c>
      <c r="G15" s="147" t="s">
        <v>1292</v>
      </c>
    </row>
    <row r="16" spans="1:7">
      <c r="A16" s="294" t="s">
        <v>1468</v>
      </c>
      <c r="G16" s="147" t="s">
        <v>731</v>
      </c>
    </row>
    <row r="17" spans="1:7">
      <c r="A17" s="147" t="s">
        <v>1179</v>
      </c>
      <c r="G17" s="147" t="s">
        <v>434</v>
      </c>
    </row>
    <row r="18" spans="1:7">
      <c r="A18" s="128" t="s">
        <v>1831</v>
      </c>
      <c r="G18" s="228" t="s">
        <v>1078</v>
      </c>
    </row>
    <row r="19" spans="1:7">
      <c r="A19" s="156" t="s">
        <v>197</v>
      </c>
      <c r="G19" s="228" t="s">
        <v>1004</v>
      </c>
    </row>
    <row r="20" spans="1:7">
      <c r="A20" s="147" t="s">
        <v>565</v>
      </c>
      <c r="G20" s="147" t="s">
        <v>852</v>
      </c>
    </row>
    <row r="21" spans="1:7">
      <c r="A21" s="253" t="s">
        <v>1369</v>
      </c>
      <c r="G21" s="151" t="s">
        <v>402</v>
      </c>
    </row>
    <row r="22" spans="1:7">
      <c r="A22" s="121" t="s">
        <v>2004</v>
      </c>
      <c r="G22" s="147" t="s">
        <v>1068</v>
      </c>
    </row>
    <row r="23" spans="1:7">
      <c r="A23" s="147" t="s">
        <v>554</v>
      </c>
      <c r="G23" s="156" t="s">
        <v>267</v>
      </c>
    </row>
    <row r="24" spans="1:7">
      <c r="A24" s="156" t="s">
        <v>259</v>
      </c>
      <c r="G24" s="253" t="s">
        <v>1342</v>
      </c>
    </row>
    <row r="25" spans="1:7">
      <c r="A25" s="121" t="s">
        <v>1943</v>
      </c>
      <c r="G25" s="147" t="s">
        <v>928</v>
      </c>
    </row>
    <row r="26" spans="1:7">
      <c r="A26" s="401" t="s">
        <v>2228</v>
      </c>
      <c r="G26" s="147" t="s">
        <v>727</v>
      </c>
    </row>
    <row r="27" spans="1:7" ht="13.8" thickBot="1">
      <c r="A27" s="211" t="s">
        <v>1112</v>
      </c>
      <c r="G27" s="228" t="s">
        <v>800</v>
      </c>
    </row>
    <row r="28" spans="1:7">
      <c r="A28" s="147" t="s">
        <v>930</v>
      </c>
      <c r="G28" s="253" t="s">
        <v>1402</v>
      </c>
    </row>
    <row r="29" spans="1:7" ht="13.8" thickBot="1">
      <c r="A29" s="253" t="s">
        <v>1419</v>
      </c>
      <c r="G29" s="147" t="s">
        <v>1099</v>
      </c>
    </row>
    <row r="30" spans="1:7">
      <c r="A30" s="677" t="s">
        <v>1735</v>
      </c>
      <c r="G30" s="147" t="s">
        <v>825</v>
      </c>
    </row>
    <row r="31" spans="1:7">
      <c r="A31" s="121" t="s">
        <v>1865</v>
      </c>
      <c r="G31" s="294" t="s">
        <v>1577</v>
      </c>
    </row>
    <row r="32" spans="1:7">
      <c r="A32" s="294" t="s">
        <v>1676</v>
      </c>
      <c r="G32" s="253" t="s">
        <v>1541</v>
      </c>
    </row>
    <row r="33" spans="1:7">
      <c r="A33" s="294" t="s">
        <v>1785</v>
      </c>
      <c r="G33" s="222" t="s">
        <v>704</v>
      </c>
    </row>
    <row r="34" spans="1:7">
      <c r="A34" s="147" t="s">
        <v>482</v>
      </c>
      <c r="G34" s="222" t="s">
        <v>754</v>
      </c>
    </row>
    <row r="35" spans="1:7">
      <c r="A35" s="156" t="s">
        <v>270</v>
      </c>
      <c r="G35" s="147" t="s">
        <v>1042</v>
      </c>
    </row>
    <row r="36" spans="1:7">
      <c r="A36" s="121" t="s">
        <v>2221</v>
      </c>
      <c r="G36" s="228" t="s">
        <v>1034</v>
      </c>
    </row>
    <row r="37" spans="1:7">
      <c r="A37" s="401" t="s">
        <v>2361</v>
      </c>
      <c r="G37" s="222" t="s">
        <v>767</v>
      </c>
    </row>
    <row r="38" spans="1:7">
      <c r="A38" s="343" t="s">
        <v>1701</v>
      </c>
      <c r="G38" s="253" t="s">
        <v>1409</v>
      </c>
    </row>
    <row r="39" spans="1:7">
      <c r="A39" s="580" t="s">
        <v>786</v>
      </c>
      <c r="G39" s="285" t="s">
        <v>1488</v>
      </c>
    </row>
    <row r="40" spans="1:7">
      <c r="A40" s="147" t="s">
        <v>615</v>
      </c>
      <c r="G40" s="147" t="s">
        <v>572</v>
      </c>
    </row>
    <row r="41" spans="1:7">
      <c r="A41" s="181" t="s">
        <v>495</v>
      </c>
      <c r="G41" s="294" t="s">
        <v>1484</v>
      </c>
    </row>
    <row r="42" spans="1:7">
      <c r="A42" s="294" t="s">
        <v>1587</v>
      </c>
      <c r="G42" s="147" t="s">
        <v>593</v>
      </c>
    </row>
    <row r="43" spans="1:7">
      <c r="A43" s="147" t="s">
        <v>1096</v>
      </c>
      <c r="G43" s="147" t="s">
        <v>366</v>
      </c>
    </row>
    <row r="44" spans="1:7">
      <c r="A44" s="147" t="s">
        <v>1020</v>
      </c>
      <c r="G44" s="128" t="s">
        <v>1798</v>
      </c>
    </row>
    <row r="45" spans="1:7">
      <c r="A45" s="128" t="s">
        <v>1020</v>
      </c>
      <c r="G45" s="147" t="s">
        <v>887</v>
      </c>
    </row>
    <row r="46" spans="1:7">
      <c r="A46" s="147" t="s">
        <v>469</v>
      </c>
      <c r="G46" s="147" t="s">
        <v>174</v>
      </c>
    </row>
    <row r="47" spans="1:7">
      <c r="A47" s="294" t="s">
        <v>1639</v>
      </c>
      <c r="G47" s="294" t="s">
        <v>1761</v>
      </c>
    </row>
    <row r="48" spans="1:7">
      <c r="A48" s="156" t="s">
        <v>237</v>
      </c>
      <c r="G48" s="365" t="s">
        <v>1906</v>
      </c>
    </row>
    <row r="49" spans="1:7">
      <c r="A49" s="401" t="s">
        <v>2238</v>
      </c>
      <c r="G49" s="147" t="s">
        <v>967</v>
      </c>
    </row>
    <row r="50" spans="1:7">
      <c r="A50" s="253" t="s">
        <v>1440</v>
      </c>
      <c r="G50" s="294" t="s">
        <v>1572</v>
      </c>
    </row>
    <row r="51" spans="1:7">
      <c r="A51" s="147" t="s">
        <v>657</v>
      </c>
      <c r="G51" s="156" t="s">
        <v>342</v>
      </c>
    </row>
    <row r="52" spans="1:7">
      <c r="A52" s="580" t="s">
        <v>607</v>
      </c>
      <c r="G52" s="156" t="s">
        <v>261</v>
      </c>
    </row>
    <row r="53" spans="1:7">
      <c r="A53" s="294" t="s">
        <v>1649</v>
      </c>
      <c r="G53" s="253" t="s">
        <v>1680</v>
      </c>
    </row>
    <row r="54" spans="1:7" ht="13.8" thickBot="1">
      <c r="A54" s="472" t="s">
        <v>2331</v>
      </c>
      <c r="G54" s="156" t="s">
        <v>354</v>
      </c>
    </row>
    <row r="55" spans="1:7">
      <c r="A55" s="294" t="s">
        <v>1667</v>
      </c>
      <c r="G55" s="156" t="s">
        <v>278</v>
      </c>
    </row>
    <row r="56" spans="1:7" ht="13.8" thickBot="1">
      <c r="A56" s="294" t="s">
        <v>1712</v>
      </c>
      <c r="G56" s="253" t="s">
        <v>1389</v>
      </c>
    </row>
    <row r="57" spans="1:7">
      <c r="A57" s="171" t="s">
        <v>958</v>
      </c>
      <c r="G57" s="147" t="s">
        <v>536</v>
      </c>
    </row>
    <row r="58" spans="1:7">
      <c r="A58" s="253" t="s">
        <v>1320</v>
      </c>
      <c r="G58" s="147" t="s">
        <v>525</v>
      </c>
    </row>
    <row r="59" spans="1:7">
      <c r="A59" s="147" t="s">
        <v>1264</v>
      </c>
      <c r="G59" s="147" t="s">
        <v>784</v>
      </c>
    </row>
    <row r="60" spans="1:7">
      <c r="A60" s="580" t="s">
        <v>1215</v>
      </c>
      <c r="G60" s="294" t="s">
        <v>1727</v>
      </c>
    </row>
    <row r="61" spans="1:7">
      <c r="A61" s="121" t="s">
        <v>1952</v>
      </c>
      <c r="G61" s="222" t="s">
        <v>743</v>
      </c>
    </row>
    <row r="62" spans="1:7">
      <c r="A62" s="121" t="s">
        <v>1995</v>
      </c>
      <c r="G62" s="147" t="s">
        <v>638</v>
      </c>
    </row>
    <row r="63" spans="1:7">
      <c r="A63" s="401" t="s">
        <v>1959</v>
      </c>
      <c r="G63" s="147" t="s">
        <v>437</v>
      </c>
    </row>
    <row r="64" spans="1:7">
      <c r="A64" s="147" t="s">
        <v>815</v>
      </c>
      <c r="G64" s="121" t="s">
        <v>2284</v>
      </c>
    </row>
    <row r="65" spans="1:7">
      <c r="A65" s="401" t="s">
        <v>1967</v>
      </c>
      <c r="G65" s="147" t="s">
        <v>776</v>
      </c>
    </row>
    <row r="66" spans="1:7">
      <c r="A66" s="147" t="s">
        <v>448</v>
      </c>
      <c r="G66" s="274" t="s">
        <v>776</v>
      </c>
    </row>
    <row r="67" spans="1:7">
      <c r="A67" s="156" t="s">
        <v>333</v>
      </c>
      <c r="G67" s="156" t="s">
        <v>142</v>
      </c>
    </row>
    <row r="68" spans="1:7">
      <c r="A68" s="147" t="s">
        <v>866</v>
      </c>
      <c r="G68" s="281" t="s">
        <v>1344</v>
      </c>
    </row>
    <row r="69" spans="1:7">
      <c r="A69" s="388" t="s">
        <v>1840</v>
      </c>
      <c r="G69" s="156" t="s">
        <v>250</v>
      </c>
    </row>
    <row r="70" spans="1:7">
      <c r="A70" s="370" t="s">
        <v>1881</v>
      </c>
      <c r="G70" s="375" t="s">
        <v>1394</v>
      </c>
    </row>
    <row r="71" spans="1:7">
      <c r="A71" s="147" t="s">
        <v>514</v>
      </c>
      <c r="G71" s="294" t="s">
        <v>1607</v>
      </c>
    </row>
    <row r="72" spans="1:7" ht="13.8" thickBot="1">
      <c r="A72" s="678" t="s">
        <v>1930</v>
      </c>
      <c r="G72" s="156" t="s">
        <v>285</v>
      </c>
    </row>
    <row r="73" spans="1:7">
      <c r="A73" s="294" t="s">
        <v>1764</v>
      </c>
      <c r="G73" s="401" t="s">
        <v>2277</v>
      </c>
    </row>
    <row r="74" spans="1:7">
      <c r="A74" s="294" t="s">
        <v>1719</v>
      </c>
      <c r="G74" s="253" t="s">
        <v>1360</v>
      </c>
    </row>
    <row r="75" spans="1:7">
      <c r="A75" s="454" t="s">
        <v>1981</v>
      </c>
      <c r="G75" s="147" t="s">
        <v>485</v>
      </c>
    </row>
    <row r="76" spans="1:7">
      <c r="A76" s="612" t="s">
        <v>1590</v>
      </c>
      <c r="G76" s="222" t="s">
        <v>690</v>
      </c>
    </row>
    <row r="77" spans="1:7">
      <c r="A77" s="253" t="s">
        <v>1311</v>
      </c>
      <c r="G77" s="156" t="s">
        <v>191</v>
      </c>
    </row>
    <row r="78" spans="1:7">
      <c r="A78" s="253" t="s">
        <v>1425</v>
      </c>
      <c r="G78" s="294" t="s">
        <v>1758</v>
      </c>
    </row>
    <row r="79" spans="1:7">
      <c r="A79" s="128" t="s">
        <v>1848</v>
      </c>
      <c r="G79" s="147" t="s">
        <v>352</v>
      </c>
    </row>
    <row r="80" spans="1:7">
      <c r="A80" s="147" t="s">
        <v>859</v>
      </c>
      <c r="G80" s="147" t="s">
        <v>1250</v>
      </c>
    </row>
    <row r="81" spans="1:7">
      <c r="A81" s="156" t="s">
        <v>183</v>
      </c>
      <c r="G81" s="151" t="s">
        <v>623</v>
      </c>
    </row>
    <row r="82" spans="1:7">
      <c r="A82" s="294" t="s">
        <v>1777</v>
      </c>
      <c r="G82" s="294" t="s">
        <v>1562</v>
      </c>
    </row>
    <row r="83" spans="1:7">
      <c r="A83" s="147" t="s">
        <v>1153</v>
      </c>
      <c r="G83" s="365" t="s">
        <v>1890</v>
      </c>
    </row>
    <row r="84" spans="1:7">
      <c r="A84" s="253" t="s">
        <v>1336</v>
      </c>
      <c r="G84" s="156" t="s">
        <v>262</v>
      </c>
    </row>
    <row r="85" spans="1:7">
      <c r="A85" s="147" t="s">
        <v>445</v>
      </c>
      <c r="G85" s="147" t="s">
        <v>1274</v>
      </c>
    </row>
    <row r="86" spans="1:7">
      <c r="A86" s="580" t="s">
        <v>673</v>
      </c>
      <c r="G86" s="147" t="s">
        <v>871</v>
      </c>
    </row>
    <row r="87" spans="1:7">
      <c r="A87" s="156" t="s">
        <v>286</v>
      </c>
      <c r="G87" s="147" t="s">
        <v>382</v>
      </c>
    </row>
    <row r="88" spans="1:7">
      <c r="A88" s="147" t="s">
        <v>1137</v>
      </c>
      <c r="G88" s="147" t="s">
        <v>1110</v>
      </c>
    </row>
    <row r="89" spans="1:7">
      <c r="A89" s="253" t="s">
        <v>1339</v>
      </c>
      <c r="G89" s="253" t="s">
        <v>1299</v>
      </c>
    </row>
    <row r="90" spans="1:7">
      <c r="A90" s="294" t="s">
        <v>1515</v>
      </c>
      <c r="G90" s="328" t="s">
        <v>1629</v>
      </c>
    </row>
    <row r="91" spans="1:7">
      <c r="A91" s="147" t="s">
        <v>1164</v>
      </c>
      <c r="G91" s="147" t="s">
        <v>1226</v>
      </c>
    </row>
    <row r="92" spans="1:7">
      <c r="A92" s="147" t="s">
        <v>513</v>
      </c>
      <c r="G92" s="147" t="s">
        <v>1234</v>
      </c>
    </row>
    <row r="93" spans="1:7">
      <c r="A93" s="580" t="s">
        <v>764</v>
      </c>
      <c r="G93" s="121" t="s">
        <v>1974</v>
      </c>
    </row>
    <row r="94" spans="1:7">
      <c r="A94" s="294" t="s">
        <v>1652</v>
      </c>
      <c r="G94" s="147" t="s">
        <v>461</v>
      </c>
    </row>
    <row r="95" spans="1:7">
      <c r="A95" s="365" t="s">
        <v>1652</v>
      </c>
      <c r="G95" s="281" t="s">
        <v>1448</v>
      </c>
    </row>
    <row r="96" spans="1:7">
      <c r="A96" s="344" t="s">
        <v>1566</v>
      </c>
      <c r="G96" s="147" t="s">
        <v>472</v>
      </c>
    </row>
    <row r="97" spans="1:7">
      <c r="A97" s="501" t="s">
        <v>2183</v>
      </c>
      <c r="G97" s="121" t="s">
        <v>2270</v>
      </c>
    </row>
    <row r="98" spans="1:7">
      <c r="A98" s="306" t="s">
        <v>1615</v>
      </c>
      <c r="G98" s="147"/>
    </row>
    <row r="99" spans="1:7">
      <c r="A99" s="121" t="s">
        <v>2022</v>
      </c>
      <c r="G99" s="324"/>
    </row>
    <row r="100" spans="1:7">
      <c r="A100" s="147" t="s">
        <v>1256</v>
      </c>
      <c r="G100" s="365"/>
    </row>
    <row r="101" spans="1:7">
      <c r="A101" s="580" t="s">
        <v>1191</v>
      </c>
      <c r="G101" s="365"/>
    </row>
    <row r="102" spans="1:7">
      <c r="A102" s="294" t="s">
        <v>1751</v>
      </c>
      <c r="G102" s="147"/>
    </row>
    <row r="103" spans="1:7">
      <c r="A103" s="147" t="s">
        <v>620</v>
      </c>
      <c r="G103" s="679"/>
    </row>
    <row r="104" spans="1:7">
      <c r="A104" s="365" t="s">
        <v>1872</v>
      </c>
      <c r="G104" s="253"/>
    </row>
    <row r="105" spans="1:7">
      <c r="A105" s="147" t="s">
        <v>1243</v>
      </c>
      <c r="G105" s="299"/>
    </row>
    <row r="106" spans="1:7">
      <c r="A106" s="121" t="s">
        <v>2259</v>
      </c>
      <c r="G106" s="362"/>
    </row>
    <row r="107" spans="1:7">
      <c r="A107" s="147" t="s">
        <v>881</v>
      </c>
      <c r="G107" s="362"/>
    </row>
    <row r="108" spans="1:7">
      <c r="A108" s="294" t="s">
        <v>1613</v>
      </c>
      <c r="G108" s="281"/>
    </row>
    <row r="109" spans="1:7">
      <c r="A109" s="147" t="s">
        <v>1010</v>
      </c>
      <c r="G109" s="253"/>
    </row>
    <row r="110" spans="1:7">
      <c r="A110" s="294" t="s">
        <v>1791</v>
      </c>
      <c r="G110" s="147"/>
    </row>
    <row r="111" spans="1:7">
      <c r="A111" s="375" t="s">
        <v>1791</v>
      </c>
      <c r="G111" s="147"/>
    </row>
    <row r="112" spans="1:7">
      <c r="A112" s="299" t="s">
        <v>1499</v>
      </c>
      <c r="G112" s="222"/>
    </row>
    <row r="113" spans="1:7">
      <c r="A113" s="147" t="s">
        <v>940</v>
      </c>
      <c r="G113" s="324"/>
    </row>
    <row r="114" spans="1:7">
      <c r="A114" s="128" t="s">
        <v>1857</v>
      </c>
      <c r="G114" s="156"/>
    </row>
    <row r="115" spans="1:7">
      <c r="A115" s="151" t="s">
        <v>401</v>
      </c>
      <c r="G115" s="401"/>
    </row>
    <row r="116" spans="1:7">
      <c r="A116" s="156" t="s">
        <v>310</v>
      </c>
    </row>
    <row r="117" spans="1:7">
      <c r="A117" s="147" t="s">
        <v>665</v>
      </c>
    </row>
    <row r="118" spans="1:7">
      <c r="A118" s="147" t="s">
        <v>532</v>
      </c>
    </row>
    <row r="119" spans="1:7">
      <c r="A119" s="253" t="s">
        <v>1459</v>
      </c>
    </row>
    <row r="120" spans="1:7">
      <c r="A120" s="147" t="s">
        <v>721</v>
      </c>
    </row>
    <row r="121" spans="1:7">
      <c r="A121" s="401" t="s">
        <v>2013</v>
      </c>
    </row>
    <row r="122" spans="1:7">
      <c r="A122" s="136"/>
    </row>
    <row r="123" spans="1:7">
      <c r="A123" s="151"/>
    </row>
    <row r="124" spans="1:7">
      <c r="A124" s="147"/>
    </row>
    <row r="125" spans="1:7">
      <c r="A125" s="147"/>
    </row>
    <row r="126" spans="1:7">
      <c r="A126" s="147"/>
    </row>
    <row r="127" spans="1:7">
      <c r="A127" s="147"/>
    </row>
    <row r="128" spans="1:7">
      <c r="A128" s="156"/>
    </row>
    <row r="129" spans="1:1">
      <c r="A129" s="139"/>
    </row>
    <row r="130" spans="1:1">
      <c r="A130" s="264"/>
    </row>
    <row r="131" spans="1:1">
      <c r="A131" s="320"/>
    </row>
    <row r="132" spans="1:1">
      <c r="A132" s="306"/>
    </row>
    <row r="133" spans="1:1">
      <c r="A133" s="612"/>
    </row>
    <row r="134" spans="1:1">
      <c r="A134" s="363"/>
    </row>
    <row r="205" spans="7:7" ht="13.8" thickBot="1">
      <c r="G205" s="681"/>
    </row>
    <row r="209" spans="7:7">
      <c r="G209" s="151"/>
    </row>
    <row r="210" spans="7:7">
      <c r="G210" s="147"/>
    </row>
    <row r="211" spans="7:7">
      <c r="G211" s="151"/>
    </row>
    <row r="212" spans="7:7">
      <c r="G212" s="151"/>
    </row>
    <row r="213" spans="7:7">
      <c r="G213" s="156"/>
    </row>
    <row r="214" spans="7:7">
      <c r="G214" s="156"/>
    </row>
    <row r="215" spans="7:7">
      <c r="G215" s="156"/>
    </row>
    <row r="216" spans="7:7">
      <c r="G216" s="156"/>
    </row>
    <row r="217" spans="7:7">
      <c r="G217" s="156"/>
    </row>
    <row r="218" spans="7:7">
      <c r="G218" s="156"/>
    </row>
    <row r="219" spans="7:7">
      <c r="G219" s="156"/>
    </row>
    <row r="220" spans="7:7">
      <c r="G220" s="267"/>
    </row>
    <row r="221" spans="7:7">
      <c r="G221" s="267"/>
    </row>
    <row r="222" spans="7:7">
      <c r="G222" s="156"/>
    </row>
    <row r="223" spans="7:7">
      <c r="G223" s="156"/>
    </row>
    <row r="224" spans="7:7">
      <c r="G224" s="156"/>
    </row>
    <row r="225" spans="7:7">
      <c r="G225" s="156"/>
    </row>
    <row r="226" spans="7:7">
      <c r="G226" s="161"/>
    </row>
    <row r="227" spans="7:7">
      <c r="G227" s="156"/>
    </row>
    <row r="228" spans="7:7">
      <c r="G228" s="156"/>
    </row>
    <row r="229" spans="7:7">
      <c r="G229" s="156"/>
    </row>
    <row r="230" spans="7:7">
      <c r="G230" s="156"/>
    </row>
    <row r="231" spans="7:7">
      <c r="G231" s="156"/>
    </row>
    <row r="232" spans="7:7">
      <c r="G232" s="156"/>
    </row>
    <row r="233" spans="7:7">
      <c r="G233" s="156"/>
    </row>
    <row r="234" spans="7:7">
      <c r="G234" s="156"/>
    </row>
    <row r="235" spans="7:7">
      <c r="G235" s="156"/>
    </row>
    <row r="236" spans="7:7">
      <c r="G236" s="156"/>
    </row>
    <row r="237" spans="7:7">
      <c r="G237" s="156"/>
    </row>
    <row r="238" spans="7:7">
      <c r="G238" s="156"/>
    </row>
    <row r="239" spans="7:7">
      <c r="G239" s="156"/>
    </row>
    <row r="240" spans="7:7">
      <c r="G240" s="156"/>
    </row>
    <row r="241" spans="7:7">
      <c r="G241" s="267"/>
    </row>
    <row r="242" spans="7:7">
      <c r="G242" s="267"/>
    </row>
    <row r="243" spans="7:7">
      <c r="G243" s="156"/>
    </row>
    <row r="244" spans="7:7">
      <c r="G244" s="156"/>
    </row>
    <row r="245" spans="7:7">
      <c r="G245" s="156"/>
    </row>
    <row r="246" spans="7:7">
      <c r="G246" s="156"/>
    </row>
    <row r="247" spans="7:7">
      <c r="G247" s="156"/>
    </row>
    <row r="248" spans="7:7">
      <c r="G248" s="136"/>
    </row>
    <row r="249" spans="7:7">
      <c r="G249" s="136"/>
    </row>
    <row r="250" spans="7:7">
      <c r="G250" s="151"/>
    </row>
    <row r="251" spans="7:7">
      <c r="G251" s="232"/>
    </row>
    <row r="252" spans="7:7">
      <c r="G252" s="222"/>
    </row>
    <row r="253" spans="7:7">
      <c r="G253" s="156"/>
    </row>
    <row r="254" spans="7:7">
      <c r="G254" s="156"/>
    </row>
    <row r="255" spans="7:7">
      <c r="G255" s="156"/>
    </row>
    <row r="256" spans="7:7">
      <c r="G256" s="156"/>
    </row>
    <row r="257" spans="7:7">
      <c r="G257" s="156"/>
    </row>
    <row r="258" spans="7:7">
      <c r="G258" s="156"/>
    </row>
    <row r="259" spans="7:7">
      <c r="G259" s="156"/>
    </row>
    <row r="260" spans="7:7">
      <c r="G260" s="156"/>
    </row>
    <row r="261" spans="7:7">
      <c r="G261" s="156"/>
    </row>
    <row r="262" spans="7:7">
      <c r="G262" s="156"/>
    </row>
    <row r="263" spans="7:7">
      <c r="G263" s="156"/>
    </row>
    <row r="264" spans="7:7">
      <c r="G264" s="156"/>
    </row>
    <row r="265" spans="7:7">
      <c r="G265" s="156"/>
    </row>
    <row r="266" spans="7:7">
      <c r="G266" s="267"/>
    </row>
    <row r="267" spans="7:7">
      <c r="G267" s="267"/>
    </row>
    <row r="268" spans="7:7">
      <c r="G268" s="156"/>
    </row>
    <row r="269" spans="7:7">
      <c r="G269" s="156"/>
    </row>
    <row r="270" spans="7:7">
      <c r="G270" s="156"/>
    </row>
    <row r="271" spans="7:7">
      <c r="G271" s="156"/>
    </row>
    <row r="272" spans="7:7">
      <c r="G272" s="156"/>
    </row>
    <row r="273" spans="7:7">
      <c r="G273" s="136"/>
    </row>
    <row r="274" spans="7:7">
      <c r="G274" s="136"/>
    </row>
  </sheetData>
  <sortState xmlns:xlrd2="http://schemas.microsoft.com/office/spreadsheetml/2017/richdata2" ref="G1:G275">
    <sortCondition ref="G91"/>
  </sortState>
  <hyperlinks>
    <hyperlink ref="A115" r:id="rId1" xr:uid="{D54C7F0E-4CA1-40EF-84EE-6593C7977DEF}"/>
    <hyperlink ref="A13" r:id="rId2" xr:uid="{F8766744-1534-4E20-8C07-2121B1D07381}"/>
    <hyperlink ref="A11" r:id="rId3" xr:uid="{0B1503FE-16A9-4F92-9735-94F6C49DA08B}"/>
    <hyperlink ref="A71" r:id="rId4" xr:uid="{7C5559FF-96DF-46C2-BE1F-B959D0614B09}"/>
    <hyperlink ref="A118" r:id="rId5" xr:uid="{A425D235-0793-43C9-A392-8AAF12C5395A}"/>
    <hyperlink ref="A66" r:id="rId6" xr:uid="{05F1658E-4BD9-4C67-A4B8-6BEFC6EF4D71}"/>
    <hyperlink ref="A23" r:id="rId7" xr:uid="{343CD675-3E0A-4109-91F9-5E3B1910F171}"/>
    <hyperlink ref="A46" r:id="rId8" xr:uid="{D3BF507D-B100-42E0-AE40-D90A54820C11}"/>
    <hyperlink ref="A92" r:id="rId9" xr:uid="{3BEA7E46-CA08-409E-932E-CC737837676B}"/>
    <hyperlink ref="A20" r:id="rId10" xr:uid="{F3BC19C9-6C18-431F-B14E-2B965A4E21C9}"/>
    <hyperlink ref="A52" r:id="rId11" xr:uid="{A8E2A53C-2E1F-4585-9D14-0B9E48180D9E}"/>
    <hyperlink ref="A86" r:id="rId12" xr:uid="{9B9E1836-6EE9-469A-BBB3-E35D5DCF8842}"/>
    <hyperlink ref="A40" r:id="rId13" xr:uid="{667F8B7B-4E7F-418E-ADE7-A1270BAF4B4C}"/>
    <hyperlink ref="A14" r:id="rId14" xr:uid="{CF5D1E78-284E-4324-9E36-6DC997081A55}"/>
    <hyperlink ref="A51" r:id="rId15" xr:uid="{2676D878-43C8-49B5-8EB1-CD466BCD04CE}"/>
    <hyperlink ref="A15" r:id="rId16" xr:uid="{F18D14B3-EDCC-42E8-8E44-B1E59CD06F01}"/>
    <hyperlink ref="A39" r:id="rId17" xr:uid="{367BA945-3139-4C31-98B0-108945698AF2}"/>
    <hyperlink ref="A4" r:id="rId18" xr:uid="{89580CE8-4D4B-462E-8A3F-5D1EA121D6F8}"/>
    <hyperlink ref="A64" r:id="rId19" xr:uid="{AFAC5DCC-82DF-40CA-9572-D9413214500C}"/>
    <hyperlink ref="A80" r:id="rId20" xr:uid="{2AB0217A-EB39-46E7-97DD-8D992EEC870D}"/>
    <hyperlink ref="A107" r:id="rId21" xr:uid="{92F69231-D2ED-465A-ABBF-1A7681336BA5}"/>
    <hyperlink ref="A57" r:id="rId22" xr:uid="{B26DBBD8-0B32-4411-9051-4973A18950D4}"/>
    <hyperlink ref="A28" r:id="rId23" xr:uid="{A1D89A00-90B3-4D88-A1F3-D5F883F73F9D}"/>
    <hyperlink ref="A44" r:id="rId24" xr:uid="{D1AD57FB-96B5-4CA0-B275-CEA86B134B7F}"/>
    <hyperlink ref="A109" r:id="rId25" xr:uid="{40760A05-51B4-4D22-B9CC-308D34C1E3AD}"/>
    <hyperlink ref="A27" r:id="rId26" xr:uid="{47DCC6C6-A265-47C9-B510-5683E6634D22}"/>
    <hyperlink ref="A88" r:id="rId27" tooltip="blocked::mailto:praestk@aol.com" display="mailto:praestk@aol.com" xr:uid="{CF1CFC91-D7E2-458B-8A7D-AF35E05837F6}"/>
    <hyperlink ref="A83" r:id="rId28" xr:uid="{191C36EB-B45B-4001-AAB8-9F3047F70368}"/>
    <hyperlink ref="A91" r:id="rId29" xr:uid="{7E582142-4E94-4301-90C9-6A49060386C8}"/>
    <hyperlink ref="A17" r:id="rId30" xr:uid="{7E5FB830-131C-48A8-8D49-FB6F730D8BCA}"/>
    <hyperlink ref="A101" r:id="rId31" xr:uid="{B2C76C0B-EECE-402F-B82D-FDBC2F022A9E}"/>
    <hyperlink ref="A60" r:id="rId32" xr:uid="{BA9BC946-4F8E-41A5-8328-3034D3521E02}"/>
    <hyperlink ref="A105" r:id="rId33" xr:uid="{7BD8431A-27A3-4642-BFED-8934A7D39606}"/>
    <hyperlink ref="A100" r:id="rId34" xr:uid="{5BA663D8-BEB1-4F67-AF92-F702C3484EF4}"/>
    <hyperlink ref="A59" r:id="rId35" xr:uid="{57E2276E-738F-4675-8C18-C51A237D5563}"/>
    <hyperlink ref="A10" r:id="rId36" xr:uid="{467B3408-E077-4C10-862A-2CC2AC7B0283}"/>
    <hyperlink ref="A77" r:id="rId37" xr:uid="{AD70A6E0-17A2-47B6-A55A-A1123D32FB58}"/>
    <hyperlink ref="A58" r:id="rId38" xr:uid="{F7A95239-7E7C-4492-8AE3-C6755E8E6E4E}"/>
    <hyperlink ref="A70" r:id="rId39" xr:uid="{406C32A8-809E-48CA-9B6B-146841CCEAC1}"/>
    <hyperlink ref="A84" r:id="rId40" xr:uid="{16DEC42D-1166-419E-989B-079E9184801A}"/>
    <hyperlink ref="A89" r:id="rId41" xr:uid="{94FFEA9B-293B-4CC4-8E23-5B0712537BA5}"/>
    <hyperlink ref="A21" r:id="rId42" xr:uid="{52392538-7470-4B82-B9C5-85E4494A8A31}"/>
    <hyperlink ref="A8" r:id="rId43" xr:uid="{0F3D7A37-BA83-40A7-8049-069D6ECD82BC}"/>
    <hyperlink ref="A29" r:id="rId44" xr:uid="{24FA61D2-1167-44DF-9315-0105565CCA3E}"/>
    <hyperlink ref="A78" r:id="rId45" xr:uid="{DA49FE09-5E22-42A6-B3DC-54672B5070E1}"/>
    <hyperlink ref="A50" r:id="rId46" xr:uid="{CA47B550-3D4B-4B22-8E1C-BDDB1490C6FD}"/>
    <hyperlink ref="A119" r:id="rId47" xr:uid="{0A916258-84BE-4747-B6C7-F997D52D761F}"/>
    <hyperlink ref="A16" r:id="rId48" xr:uid="{4EDF3BD6-FBF4-4C5C-810B-B8AD967E4A37}"/>
    <hyperlink ref="A90" r:id="rId49" xr:uid="{1566956E-C1DB-4C6C-A4B8-A797ECCC7C4D}"/>
    <hyperlink ref="A116" r:id="rId50" xr:uid="{72260490-7FCC-43A7-9C30-8E3164BB0D74}"/>
    <hyperlink ref="A87" r:id="rId51" xr:uid="{5E90E3AE-BA9F-4C0C-B918-79A8047346D3}"/>
    <hyperlink ref="A5" r:id="rId52" xr:uid="{056277CC-BD4E-4A8F-AC27-3CC3D903F5E0}"/>
    <hyperlink ref="A24" r:id="rId53" xr:uid="{B0EA05EA-9986-43D8-885B-34B37263529E}"/>
    <hyperlink ref="A48" r:id="rId54" xr:uid="{38BD4E66-7D58-4BCB-82BA-F73D75A80FC1}"/>
    <hyperlink ref="A42" r:id="rId55" xr:uid="{4B0F5569-F1D6-4E3C-8164-48644DB94ABA}"/>
    <hyperlink ref="A98" r:id="rId56" xr:uid="{89810392-992A-4B7D-A68C-18B85A2C27EB}"/>
    <hyperlink ref="A96" r:id="rId57" display="mailto:sandra@rudelwohl-zach.de" xr:uid="{D69A0747-FB66-4EC4-8B66-F2E35A0EDE17}"/>
    <hyperlink ref="A108" r:id="rId58" xr:uid="{92524DFD-5F61-407E-981F-09FDA4698037}"/>
    <hyperlink ref="A47" r:id="rId59" xr:uid="{39C1FB69-DB56-4BFF-8790-AFEBDA4AA6D4}"/>
    <hyperlink ref="A53" r:id="rId60" xr:uid="{980E8DB0-B4F3-44D4-8E0B-02C2817B4EF7}"/>
    <hyperlink ref="A94" r:id="rId61" xr:uid="{5263503E-197B-4CED-AFAD-3D0690EAEAA8}"/>
    <hyperlink ref="A55" r:id="rId62" xr:uid="{5F3AA2D8-7CF2-495C-8108-FCDB41CFC219}"/>
    <hyperlink ref="A32" r:id="rId63" xr:uid="{8B864A20-B486-48DB-BA14-39858417A683}"/>
    <hyperlink ref="A38" r:id="rId64" display="mailto:gmmanzi@aol.com" xr:uid="{49E18062-0AC7-4FE6-AE60-E8D7CAFAE0D8}"/>
    <hyperlink ref="A56" r:id="rId65" xr:uid="{8C565F1A-1DF1-4F6D-A4C6-0D4AE8A0FA78}"/>
    <hyperlink ref="A30" r:id="rId66" xr:uid="{A1AE62CE-C1F7-4BBD-B409-8B1340E19078}"/>
    <hyperlink ref="A9" r:id="rId67" xr:uid="{899F76BF-F605-41DE-9156-32CF95C06EF5}"/>
    <hyperlink ref="A102" r:id="rId68" xr:uid="{2D528EF5-40F2-468D-B00F-F4B0F2E2068D}"/>
    <hyperlink ref="A73" r:id="rId69" display="mailto:michael.boller@hartmann-werkzeugmarkt.de" xr:uid="{F8474E3D-0315-4A87-9780-769759E439BD}"/>
    <hyperlink ref="A82" r:id="rId70" xr:uid="{F0AC48BA-1627-4815-A1E5-288DA117A9D9}"/>
    <hyperlink ref="A33" r:id="rId71" xr:uid="{6D74CED6-26FC-4EEB-8A27-4A1FFD177A6F}"/>
    <hyperlink ref="A110" r:id="rId72" xr:uid="{5ACC2F3E-7CBB-4D79-AC26-D4EBA7BC7161}"/>
    <hyperlink ref="A74" r:id="rId73" xr:uid="{4AD61F4A-A13D-4C0E-8AA7-1455D1A680CE}"/>
    <hyperlink ref="A2" r:id="rId74" xr:uid="{315E9452-4BD6-443E-A30F-D30BC2DC1CEA}"/>
    <hyperlink ref="A45" r:id="rId75" xr:uid="{D899E81D-480E-422E-A526-A3D44165405A}"/>
    <hyperlink ref="A69" r:id="rId76" xr:uid="{51D5BC8F-04FE-457E-A613-8DE1971EF322}"/>
    <hyperlink ref="A79" r:id="rId77" xr:uid="{098A7DF2-29B5-48AC-AE38-BC01B4FBB0B2}"/>
    <hyperlink ref="A18" r:id="rId78" xr:uid="{59B6B8C3-75AD-4EBF-AE4E-096556B4FE77}"/>
    <hyperlink ref="A95" r:id="rId79" xr:uid="{3A882337-287D-4903-984D-2D198946028B}"/>
    <hyperlink ref="A31" r:id="rId80" xr:uid="{45B83BB6-EFED-41DA-8406-99B366346127}"/>
    <hyperlink ref="A104" r:id="rId81" xr:uid="{6D7CC0CF-646C-4A4F-9748-2268C2775947}"/>
    <hyperlink ref="A6" r:id="rId82" xr:uid="{0A890EDF-2EE3-493A-A376-8C3B9B6AFBA1}"/>
    <hyperlink ref="A12" r:id="rId83" xr:uid="{24D448CD-561A-493D-9958-88BD5017F809}"/>
    <hyperlink ref="A111" r:id="rId84" xr:uid="{BE271D9D-318B-4BA1-8FFC-0E6160CBBD2A}"/>
    <hyperlink ref="A72" r:id="rId85" xr:uid="{78880F42-4117-4D09-9F31-EB41157F27EA}"/>
    <hyperlink ref="A25" r:id="rId86" xr:uid="{70DD71F4-85C0-4799-91C8-2CE1CCF8A108}"/>
    <hyperlink ref="A61" r:id="rId87" xr:uid="{E50B0FF9-C3A6-4CF8-AC2A-023EA3CFB03C}"/>
    <hyperlink ref="A63" r:id="rId88" xr:uid="{CA98DE96-FA3D-48A3-9900-F03A6BDBA913}"/>
    <hyperlink ref="A65" r:id="rId89" xr:uid="{355392F3-581C-445C-BFDA-4EAC44CEBEF1}"/>
    <hyperlink ref="A75" r:id="rId90" xr:uid="{FABFB1CB-3430-43D5-8314-D27FDE0871E6}"/>
    <hyperlink ref="A62" r:id="rId91" xr:uid="{90C209B8-3D2A-4D02-977D-AA103DABA072}"/>
    <hyperlink ref="A22" r:id="rId92" xr:uid="{60A7B2A9-9046-4B14-9B5E-3F78AEE4CDF6}"/>
    <hyperlink ref="A121" r:id="rId93" xr:uid="{B91D0636-DE78-4C6E-BEE8-C735BD2FA5C5}"/>
    <hyperlink ref="A99" r:id="rId94" xr:uid="{6DB6F326-01E5-4D3B-8863-55E4FEC8EA5F}"/>
    <hyperlink ref="A97" r:id="rId95" xr:uid="{9FD8CFE1-C1C6-426A-AAD5-1A7A17BE636A}"/>
    <hyperlink ref="A26" r:id="rId96" xr:uid="{079FF1A2-FDDF-4842-B815-B3E2FC2F6705}"/>
    <hyperlink ref="A49" r:id="rId97" xr:uid="{2FF934DB-62C6-45A9-BC5E-C22A090F7CC1}"/>
    <hyperlink ref="A81" r:id="rId98" xr:uid="{A794C1A0-2FED-4C86-88EB-2B2FE1731C8B}"/>
    <hyperlink ref="A19" r:id="rId99" xr:uid="{58287264-C67D-41B8-9066-8951477C5DDF}"/>
    <hyperlink ref="A67" r:id="rId100" xr:uid="{3766904D-69BA-4227-B6AF-89143ED18694}"/>
    <hyperlink ref="A106" r:id="rId101" xr:uid="{1C85E4F6-F6CE-47C8-B097-7AC5EEA15DD6}"/>
    <hyperlink ref="A37" r:id="rId102" xr:uid="{3A723F0E-18C1-42C6-92B8-CB2A15A4F71C}"/>
    <hyperlink ref="G87" r:id="rId103" xr:uid="{430843D0-E53F-4AD0-81CE-B3EF4C8FDFDF}"/>
    <hyperlink ref="G21" r:id="rId104" xr:uid="{3E8C1E61-61A8-4DDC-B942-030369257B81}"/>
    <hyperlink ref="G17" r:id="rId105" xr:uid="{09E9C843-10C2-43CC-B9A7-12155ED2FEB2}"/>
    <hyperlink ref="G63" r:id="rId106" xr:uid="{E99394A7-40F3-4C39-A260-7B6E5942FF3B}"/>
    <hyperlink ref="G94" r:id="rId107" xr:uid="{DF60A8CE-0037-4E06-8D61-1662C2FBB1B7}"/>
    <hyperlink ref="G58" r:id="rId108" xr:uid="{E7569E4D-5A03-439F-879A-171B5FAE3ACF}"/>
    <hyperlink ref="G6" r:id="rId109" xr:uid="{551E788C-68B0-450B-905E-7F1D9EDD0A2D}"/>
    <hyperlink ref="G40" r:id="rId110" xr:uid="{85CDF5E3-0ABB-456D-B7DE-F0EA4E9267BD}"/>
    <hyperlink ref="G79" r:id="rId111" xr:uid="{AFC8F99B-6BB0-473D-AD63-1523F1FE091B}"/>
    <hyperlink ref="G62" r:id="rId112" xr:uid="{46C9ECAB-A3D9-483D-9ED0-C554AE555BE8}"/>
    <hyperlink ref="G76" r:id="rId113" xr:uid="{FA268ECE-FC32-46C9-8282-C7D61307B153}"/>
    <hyperlink ref="G33" r:id="rId114" xr:uid="{8A321D98-D769-4427-B505-867E6FF2C234}"/>
    <hyperlink ref="G16" r:id="rId115" xr:uid="{C23C96DB-3CCB-41FA-BDF5-F2E872786242}"/>
    <hyperlink ref="G61" r:id="rId116" xr:uid="{816A95EE-2CA5-4D73-85E7-91830216A931}"/>
    <hyperlink ref="G4" r:id="rId117" xr:uid="{95186F21-5DD3-44B6-B8E2-34712C013A2E}"/>
    <hyperlink ref="G34" r:id="rId118" xr:uid="{C41AF0D4-5855-461B-8C83-CFBF94DEDDE9}"/>
    <hyperlink ref="G26" r:id="rId119" xr:uid="{9867FB3A-5C4D-44B0-BD9E-81FAF92408CA}"/>
    <hyperlink ref="G59" r:id="rId120" xr:uid="{6A2F4881-A9BF-4ED4-AB6B-E20CAECE9332}"/>
    <hyperlink ref="G46" r:id="rId121" display="mailto:kiki.tipunch@wanadoo.fr" xr:uid="{59E2D206-3D0A-485D-81DD-296668CCA728}"/>
    <hyperlink ref="G27" r:id="rId122" xr:uid="{9C7A5692-0217-4D89-AC99-97FB82CB3AA6}"/>
    <hyperlink ref="G37" r:id="rId123" xr:uid="{007E7A89-0965-4946-B559-70F85F001E8C}"/>
    <hyperlink ref="G30" r:id="rId124" xr:uid="{E29036BC-027C-4240-A28E-8EDBCAC50D5C}"/>
    <hyperlink ref="G25" r:id="rId125" display="duchenenicola@yahoo.fr " xr:uid="{E6459A2A-11C3-45AB-AE35-B448BD475B5D}"/>
    <hyperlink ref="G20" r:id="rId126" xr:uid="{C4682D44-5D3E-4C16-9B35-673CD2FEFFB5}"/>
    <hyperlink ref="G86" r:id="rId127" xr:uid="{4015BD17-6E9C-4146-8A75-B88FE6C2C0E1}"/>
    <hyperlink ref="G65" r:id="rId128" xr:uid="{68B038B9-AF9D-4C4F-B95C-02DEB567D540}"/>
    <hyperlink ref="G75" r:id="rId129" xr:uid="{665A7402-16F1-499E-ACE3-6F3743DFCF07}"/>
    <hyperlink ref="G49" r:id="rId130" xr:uid="{56C9B581-45B5-43AC-B302-A2A34128637F}"/>
    <hyperlink ref="G36" r:id="rId131" xr:uid="{41138AD2-B9B4-4389-81F8-F72628E9C2FA}"/>
    <hyperlink ref="G19" r:id="rId132" xr:uid="{41EAF2B9-AF39-4BE4-AC65-28A0D0C72F71}"/>
    <hyperlink ref="G35" r:id="rId133" xr:uid="{44084910-2869-4663-9792-AAAD5BED2BA4}"/>
    <hyperlink ref="G29" r:id="rId134" xr:uid="{BABA4FFF-431B-4ABA-932C-2D91A078EE67}"/>
    <hyperlink ref="G18" r:id="rId135" xr:uid="{A524F12C-4A80-41FD-BAEE-AFDB9CE294DA}"/>
    <hyperlink ref="G88" r:id="rId136" xr:uid="{441956F5-7CB2-480A-B7D0-8BF0AC3C94D3}"/>
    <hyperlink ref="G53" r:id="rId137" xr:uid="{4221E5DB-82A0-4499-90DE-45413B1AA01D}"/>
    <hyperlink ref="G248" r:id="rId138" display="erwanhubert@free.fr" xr:uid="{58271609-B5D1-4395-9DBF-4963CCF88DCA}"/>
    <hyperlink ref="G66" r:id="rId139" xr:uid="{8D928FA3-4291-41AA-82C1-89A2660947D7}"/>
    <hyperlink ref="G91" r:id="rId140" xr:uid="{2E9B43DF-71F5-4BA8-91B4-8D1AD9CE8C02}"/>
    <hyperlink ref="G92" r:id="rId141" xr:uid="{C52FE959-1A10-496A-AD5C-FC8D31D082E1}"/>
    <hyperlink ref="G80" r:id="rId142" xr:uid="{7EB56F81-3976-483E-9EF6-1E512BFB5D14}"/>
    <hyperlink ref="G85" r:id="rId143" xr:uid="{26172EA5-4A99-488F-B181-B8BFB0245C49}"/>
    <hyperlink ref="G15" r:id="rId144" xr:uid="{D09F836F-F76A-4987-ADB4-6AFE7BFE4F47}"/>
    <hyperlink ref="G273" r:id="rId145" display="erwanhubert@free.fr" xr:uid="{7B4E77D3-C7F9-451A-A0AE-A4A07BBEFA2B}"/>
    <hyperlink ref="G89" r:id="rId146" xr:uid="{D343572C-E196-404F-B901-2E05324DB4E5}"/>
    <hyperlink ref="G24" r:id="rId147" xr:uid="{8A62E99E-CB92-4CC3-AB6A-AB58E1CBE020}"/>
    <hyperlink ref="G74" r:id="rId148" xr:uid="{CD4AFD86-1C98-4A78-8F3D-B3CC864757DC}"/>
    <hyperlink ref="G56" r:id="rId149" xr:uid="{DF08F3E9-9743-463E-9D28-9AA24357076E}"/>
    <hyperlink ref="G28" r:id="rId150" xr:uid="{08E01471-F340-4A60-BCEB-2962A009F581}"/>
    <hyperlink ref="G38" r:id="rId151" xr:uid="{087C8EE0-8359-437A-A21C-F6C320573FD5}"/>
    <hyperlink ref="G12" r:id="rId152" xr:uid="{B6F159BF-A4E4-4FC9-A27A-9CDE3FAD5894}"/>
    <hyperlink ref="G95" r:id="rId153" xr:uid="{9F0C3855-DC6E-4AA3-A6C3-A89D899FDA51}"/>
    <hyperlink ref="G39" r:id="rId154" xr:uid="{3D4BD893-F919-41B7-A395-C7E94E43D3AD}"/>
    <hyperlink ref="G41" r:id="rId155" xr:uid="{486A9150-C5D8-4973-8670-FCCACB398E6F}"/>
    <hyperlink ref="G9" r:id="rId156" xr:uid="{6498BA7C-2E6D-4C68-9327-135240A3D7EB}"/>
    <hyperlink ref="G11" r:id="rId157" xr:uid="{6907379A-8A8C-4A1B-A114-3342A93D50FE}"/>
    <hyperlink ref="G50" r:id="rId158" xr:uid="{3786688A-0A1F-4BDF-B28B-9439FA79621E}"/>
    <hyperlink ref="G3" r:id="rId159" xr:uid="{D2D5BAC8-79D5-4312-9434-82EAC988F8CA}"/>
    <hyperlink ref="G84" r:id="rId160" xr:uid="{7FAFAE95-F512-416D-BC4D-8A53D5958923}"/>
    <hyperlink ref="G67" r:id="rId161" xr:uid="{D9E7567F-684B-46DC-8A4B-34F8A75B189D}"/>
    <hyperlink ref="G69" r:id="rId162" xr:uid="{2466773E-FED2-4C54-959F-5679FEEFAD64}"/>
    <hyperlink ref="G31" r:id="rId163" xr:uid="{552FD54F-F9E7-4D5A-9603-0287C4CDA52E}"/>
    <hyperlink ref="G90" r:id="rId164" xr:uid="{D3CE659D-FD0C-4010-A01C-5ECB659E2D28}"/>
    <hyperlink ref="G47" r:id="rId165" xr:uid="{5098822F-9FA1-48A7-A4C7-B2A4435CAFA0}"/>
    <hyperlink ref="G13" r:id="rId166" xr:uid="{6C75F967-3BD9-4F17-87CF-1C8EA5D92441}"/>
    <hyperlink ref="G60" r:id="rId167" xr:uid="{E19083EC-4A46-44A9-A101-C823BC503FF0}"/>
    <hyperlink ref="G78" r:id="rId168" xr:uid="{063B09D2-0698-4540-B7C6-EA923C7C16BB}"/>
    <hyperlink ref="G44" r:id="rId169" xr:uid="{953E415F-586B-49B5-B8B4-D4956838BCDB}"/>
    <hyperlink ref="G83" r:id="rId170" xr:uid="{AD6B91F4-7CA1-42C4-9547-088E88254B4B}"/>
    <hyperlink ref="G48" r:id="rId171" xr:uid="{520D4E8D-CEAB-4A75-BE82-81B315730EC1}"/>
    <hyperlink ref="G70" r:id="rId172" xr:uid="{04C92900-1EAE-481F-904B-4BD103719E69}"/>
    <hyperlink ref="G93" r:id="rId173" xr:uid="{7591682F-B2E0-4BF5-B2AB-214F24BD127B}"/>
    <hyperlink ref="G77" r:id="rId174" xr:uid="{72708B34-5AFD-452E-92C2-C16E0153DD16}"/>
    <hyperlink ref="G52" r:id="rId175" xr:uid="{F6D26E9A-7DE1-4F2B-AB25-54D423944E0C}"/>
    <hyperlink ref="G97" r:id="rId176" xr:uid="{2BCE94F1-7E95-4D24-85D0-ACC97196082A}"/>
    <hyperlink ref="G73" r:id="rId177" xr:uid="{9CB35FA2-F05E-4BA8-9C58-ECD5C300568C}"/>
    <hyperlink ref="G64" r:id="rId178" xr:uid="{718101BF-1CEA-4880-8CAF-B3A16DC93D21}"/>
    <hyperlink ref="G68" r:id="rId179" xr:uid="{1EFA0A02-9E71-46DA-80C2-A8EF12913F4D}"/>
  </hyperlinks>
  <pageMargins left="0.7" right="0.7" top="0.75" bottom="0.75" header="0.3" footer="0.3"/>
  <pageSetup paperSize="9" orientation="portrait" verticalDpi="0" r:id="rId18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05"/>
  <sheetViews>
    <sheetView topLeftCell="C71" workbookViewId="0">
      <selection activeCell="C71" sqref="C71:C195"/>
    </sheetView>
  </sheetViews>
  <sheetFormatPr baseColWidth="10" defaultColWidth="12.21875" defaultRowHeight="10.199999999999999"/>
  <cols>
    <col min="1" max="1" width="14" style="8" customWidth="1"/>
    <col min="2" max="2" width="12.77734375" style="8" customWidth="1"/>
    <col min="3" max="3" width="11.21875" style="31" customWidth="1"/>
    <col min="4" max="4" width="10.5546875" style="31" bestFit="1" customWidth="1"/>
    <col min="5" max="5" width="38.44140625" style="8" bestFit="1" customWidth="1"/>
    <col min="6" max="7" width="7.21875" style="8" bestFit="1" customWidth="1"/>
    <col min="8" max="8" width="22.5546875" style="8" bestFit="1" customWidth="1"/>
    <col min="9" max="9" width="8" style="8" customWidth="1"/>
    <col min="10" max="10" width="5.77734375" style="8" customWidth="1"/>
    <col min="11" max="11" width="13.77734375" style="8" customWidth="1"/>
    <col min="12" max="12" width="15.21875" style="8" customWidth="1"/>
    <col min="13" max="13" width="7.44140625" style="8" hidden="1" customWidth="1"/>
    <col min="14" max="14" width="8.21875" style="8" customWidth="1"/>
    <col min="15" max="15" width="7.21875" style="8" bestFit="1" customWidth="1"/>
    <col min="16" max="16" width="12.21875" style="8" hidden="1" customWidth="1"/>
    <col min="17" max="17" width="11.77734375" style="8" customWidth="1"/>
    <col min="18" max="18" width="5.21875" style="8" bestFit="1" customWidth="1"/>
    <col min="19" max="19" width="12.44140625" style="8" bestFit="1" customWidth="1"/>
    <col min="20" max="20" width="4.21875" style="8" customWidth="1"/>
    <col min="21" max="21" width="7.5546875" style="8" customWidth="1"/>
    <col min="22" max="22" width="13.21875" style="8" bestFit="1" customWidth="1"/>
    <col min="23" max="16384" width="12.21875" style="8"/>
  </cols>
  <sheetData>
    <row r="1" spans="1:26">
      <c r="A1" s="7"/>
      <c r="B1" s="7"/>
      <c r="C1" s="29"/>
      <c r="D1" s="29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S1" s="7"/>
      <c r="T1" s="7"/>
      <c r="U1" s="7"/>
    </row>
    <row r="2" spans="1:26" s="21" customFormat="1">
      <c r="C2" s="30"/>
      <c r="D2" s="30"/>
      <c r="N2" s="50"/>
      <c r="O2" s="22"/>
      <c r="U2" s="23"/>
    </row>
    <row r="3" spans="1:26" s="21" customFormat="1">
      <c r="C3" s="30"/>
      <c r="D3" s="30"/>
      <c r="N3" s="50"/>
      <c r="O3" s="22"/>
      <c r="U3" s="23"/>
    </row>
    <row r="4" spans="1:26" s="21" customFormat="1">
      <c r="C4" s="30"/>
      <c r="D4" s="30"/>
      <c r="N4" s="51"/>
      <c r="O4" s="22"/>
      <c r="U4" s="23"/>
    </row>
    <row r="5" spans="1:26" s="21" customFormat="1">
      <c r="C5" s="30"/>
      <c r="D5" s="30"/>
      <c r="N5" s="50"/>
      <c r="O5" s="22"/>
      <c r="U5" s="23"/>
    </row>
    <row r="6" spans="1:26" s="21" customFormat="1">
      <c r="C6" s="30"/>
      <c r="D6" s="30"/>
      <c r="N6" s="51"/>
      <c r="O6" s="22"/>
      <c r="U6" s="43"/>
    </row>
    <row r="7" spans="1:26" s="21" customFormat="1">
      <c r="C7" s="30"/>
      <c r="D7" s="30"/>
      <c r="N7" s="51"/>
      <c r="O7" s="22"/>
      <c r="U7" s="43"/>
    </row>
    <row r="8" spans="1:26" s="21" customFormat="1">
      <c r="C8" s="30"/>
      <c r="D8" s="30"/>
      <c r="N8" s="50"/>
      <c r="O8" s="22"/>
      <c r="P8" s="26"/>
      <c r="Q8" s="26"/>
      <c r="R8" s="26"/>
      <c r="S8" s="26"/>
      <c r="T8" s="26"/>
      <c r="U8" s="43"/>
      <c r="V8" s="26"/>
      <c r="W8" s="26"/>
      <c r="X8" s="26"/>
      <c r="Y8" s="26"/>
      <c r="Z8" s="26"/>
    </row>
    <row r="9" spans="1:26" s="21" customFormat="1">
      <c r="C9" s="30"/>
      <c r="D9" s="30"/>
      <c r="N9" s="50"/>
      <c r="O9" s="22"/>
      <c r="U9" s="43"/>
    </row>
    <row r="10" spans="1:26" s="21" customFormat="1">
      <c r="A10" s="20"/>
      <c r="C10" s="30"/>
      <c r="D10" s="30"/>
      <c r="N10" s="50"/>
      <c r="O10" s="22"/>
      <c r="U10" s="43"/>
    </row>
    <row r="11" spans="1:26" s="21" customFormat="1">
      <c r="A11" s="20"/>
      <c r="C11" s="30"/>
      <c r="D11" s="30"/>
      <c r="L11" s="24"/>
      <c r="N11" s="50"/>
      <c r="O11" s="22"/>
      <c r="U11" s="43"/>
    </row>
    <row r="12" spans="1:26" s="21" customFormat="1">
      <c r="A12" s="20"/>
      <c r="C12" s="30"/>
      <c r="D12" s="30"/>
      <c r="L12" s="24"/>
      <c r="N12" s="50"/>
      <c r="O12" s="22"/>
      <c r="U12" s="43"/>
    </row>
    <row r="13" spans="1:26" s="21" customFormat="1" ht="13.2">
      <c r="A13" s="20"/>
      <c r="C13" s="30"/>
      <c r="D13" s="30"/>
      <c r="K13" s="44"/>
      <c r="L13" s="24"/>
      <c r="N13" s="50"/>
      <c r="O13" s="22"/>
      <c r="U13" s="46"/>
    </row>
    <row r="14" spans="1:26" s="21" customFormat="1">
      <c r="C14" s="30"/>
      <c r="D14" s="30"/>
      <c r="L14" s="24"/>
      <c r="N14" s="50"/>
      <c r="O14" s="22"/>
      <c r="U14" s="48"/>
    </row>
    <row r="15" spans="1:26" s="21" customFormat="1">
      <c r="C15" s="30"/>
      <c r="D15" s="30"/>
      <c r="L15" s="24"/>
      <c r="N15" s="50"/>
      <c r="O15" s="22"/>
      <c r="Q15" s="24"/>
      <c r="U15" s="47"/>
    </row>
    <row r="16" spans="1:26" s="21" customFormat="1" ht="10.8" thickBot="1">
      <c r="C16" s="30"/>
      <c r="D16" s="30"/>
      <c r="L16" s="24"/>
      <c r="N16" s="50"/>
      <c r="O16" s="22"/>
      <c r="Q16" s="24"/>
      <c r="U16" s="47"/>
    </row>
    <row r="17" spans="1:26" s="21" customFormat="1">
      <c r="C17" s="30"/>
      <c r="D17" s="30"/>
      <c r="L17" s="24"/>
      <c r="N17" s="50"/>
      <c r="O17" s="22"/>
      <c r="P17" s="39"/>
      <c r="Q17" s="39"/>
      <c r="R17" s="39"/>
      <c r="S17" s="39"/>
      <c r="T17" s="39"/>
      <c r="U17" s="114"/>
    </row>
    <row r="18" spans="1:26" s="21" customFormat="1">
      <c r="C18" s="30"/>
      <c r="D18" s="30"/>
      <c r="L18" s="24"/>
      <c r="N18" s="50"/>
      <c r="O18" s="22"/>
      <c r="U18" s="46"/>
    </row>
    <row r="19" spans="1:26" s="21" customFormat="1">
      <c r="C19" s="30"/>
      <c r="D19" s="30"/>
      <c r="N19" s="50"/>
      <c r="O19" s="22"/>
      <c r="U19" s="52"/>
    </row>
    <row r="20" spans="1:26" s="21" customFormat="1">
      <c r="C20" s="30"/>
      <c r="D20" s="30"/>
      <c r="N20" s="50"/>
      <c r="O20" s="22"/>
      <c r="U20" s="23"/>
    </row>
    <row r="21" spans="1:26" s="21" customFormat="1">
      <c r="C21" s="30"/>
      <c r="D21" s="30"/>
      <c r="L21" s="24"/>
      <c r="N21" s="50"/>
      <c r="O21" s="22"/>
      <c r="P21" s="61"/>
      <c r="Q21" s="61"/>
      <c r="R21" s="61"/>
      <c r="S21" s="61"/>
      <c r="T21" s="61"/>
      <c r="U21" s="65"/>
      <c r="V21" s="61"/>
      <c r="W21" s="61"/>
      <c r="X21" s="61"/>
      <c r="Y21" s="61"/>
      <c r="Z21" s="61"/>
    </row>
    <row r="22" spans="1:26" s="26" customFormat="1">
      <c r="A22" s="21"/>
      <c r="B22" s="21"/>
      <c r="C22" s="30"/>
      <c r="D22" s="30"/>
      <c r="E22" s="21"/>
      <c r="F22" s="21"/>
      <c r="G22" s="21"/>
      <c r="H22" s="21"/>
      <c r="I22" s="21"/>
      <c r="J22" s="21"/>
      <c r="K22" s="21"/>
      <c r="L22" s="24"/>
      <c r="M22" s="21"/>
      <c r="N22" s="51"/>
      <c r="O22" s="22"/>
      <c r="P22" s="67"/>
      <c r="Q22" s="67"/>
      <c r="R22" s="67"/>
      <c r="S22" s="67"/>
      <c r="T22" s="67"/>
      <c r="U22" s="71"/>
      <c r="V22" s="67"/>
      <c r="W22" s="67"/>
      <c r="X22" s="67"/>
      <c r="Y22" s="67"/>
      <c r="Z22" s="67"/>
    </row>
    <row r="23" spans="1:26" s="21" customFormat="1">
      <c r="C23" s="30"/>
      <c r="D23" s="30"/>
      <c r="N23" s="50"/>
      <c r="O23" s="45"/>
      <c r="P23" s="61"/>
      <c r="Q23" s="61"/>
      <c r="R23" s="61"/>
      <c r="S23" s="61"/>
      <c r="T23" s="61"/>
      <c r="U23" s="72"/>
      <c r="V23" s="61"/>
      <c r="W23" s="61"/>
      <c r="X23" s="61"/>
      <c r="Y23" s="61"/>
      <c r="Z23" s="61"/>
    </row>
    <row r="24" spans="1:26" s="21" customFormat="1">
      <c r="C24" s="30"/>
      <c r="D24" s="30"/>
      <c r="N24" s="50"/>
      <c r="O24" s="45"/>
      <c r="U24" s="23"/>
    </row>
    <row r="25" spans="1:26" s="21" customFormat="1">
      <c r="C25" s="30"/>
      <c r="D25" s="30"/>
      <c r="N25" s="51"/>
      <c r="O25" s="45"/>
      <c r="U25" s="23"/>
    </row>
    <row r="26" spans="1:26" s="21" customFormat="1" ht="13.2">
      <c r="C26" s="30"/>
      <c r="D26" s="30"/>
      <c r="M26" s="44"/>
      <c r="N26" s="50"/>
      <c r="O26" s="22"/>
      <c r="U26" s="23"/>
    </row>
    <row r="27" spans="1:26" s="21" customFormat="1">
      <c r="C27" s="30"/>
      <c r="D27" s="30"/>
      <c r="N27" s="50"/>
      <c r="O27" s="22"/>
      <c r="U27" s="75"/>
      <c r="V27" s="78"/>
    </row>
    <row r="28" spans="1:26" s="21" customFormat="1">
      <c r="A28" s="61"/>
      <c r="B28" s="61"/>
      <c r="C28" s="62"/>
      <c r="D28" s="62"/>
      <c r="E28" s="61"/>
      <c r="F28" s="61"/>
      <c r="G28" s="61"/>
      <c r="H28" s="61"/>
      <c r="I28" s="61"/>
      <c r="J28" s="61"/>
      <c r="K28" s="61"/>
      <c r="L28" s="61"/>
      <c r="M28" s="61"/>
      <c r="N28" s="63"/>
      <c r="O28" s="64"/>
      <c r="U28" s="75"/>
      <c r="V28" s="78"/>
    </row>
    <row r="29" spans="1:26" s="21" customFormat="1">
      <c r="A29" s="61"/>
      <c r="B29" s="61"/>
      <c r="C29" s="62"/>
      <c r="D29" s="62"/>
      <c r="E29" s="61"/>
      <c r="F29" s="61"/>
      <c r="G29" s="61"/>
      <c r="H29" s="61"/>
      <c r="I29" s="61"/>
      <c r="J29" s="61"/>
      <c r="K29" s="61"/>
      <c r="L29" s="61"/>
      <c r="M29" s="61"/>
      <c r="N29" s="63"/>
      <c r="O29" s="64"/>
      <c r="U29" s="75"/>
    </row>
    <row r="30" spans="1:26" s="21" customFormat="1">
      <c r="A30" s="111"/>
      <c r="B30" s="61"/>
      <c r="C30" s="62"/>
      <c r="D30" s="62"/>
      <c r="E30" s="61"/>
      <c r="F30" s="61"/>
      <c r="G30" s="61"/>
      <c r="H30" s="61"/>
      <c r="I30" s="61"/>
      <c r="J30" s="61"/>
      <c r="K30" s="61"/>
      <c r="L30" s="61"/>
      <c r="M30" s="61"/>
      <c r="N30" s="63"/>
      <c r="O30" s="64"/>
      <c r="U30" s="75"/>
    </row>
    <row r="31" spans="1:26" s="21" customFormat="1">
      <c r="A31" s="111"/>
      <c r="B31" s="61"/>
      <c r="C31" s="62"/>
      <c r="D31" s="62"/>
      <c r="E31" s="61"/>
      <c r="F31" s="61"/>
      <c r="G31" s="61"/>
      <c r="H31" s="61"/>
      <c r="I31" s="61"/>
      <c r="J31" s="61"/>
      <c r="K31" s="61"/>
      <c r="L31" s="61"/>
      <c r="M31" s="61"/>
      <c r="N31" s="63"/>
      <c r="O31" s="64"/>
      <c r="U31" s="77"/>
      <c r="V31" s="84"/>
    </row>
    <row r="32" spans="1:26" s="21" customFormat="1">
      <c r="A32" s="61"/>
      <c r="B32" s="61"/>
      <c r="C32" s="62"/>
      <c r="D32" s="62"/>
      <c r="E32" s="61"/>
      <c r="F32" s="61"/>
      <c r="G32" s="61"/>
      <c r="H32" s="61"/>
      <c r="I32" s="61"/>
      <c r="J32" s="61"/>
      <c r="K32" s="61"/>
      <c r="L32" s="61"/>
      <c r="M32" s="61"/>
      <c r="N32" s="63"/>
      <c r="O32" s="64"/>
      <c r="U32" s="77"/>
      <c r="V32" s="78"/>
    </row>
    <row r="33" spans="1:24" s="21" customFormat="1">
      <c r="A33" s="61"/>
      <c r="B33" s="61"/>
      <c r="C33" s="62"/>
      <c r="D33" s="62"/>
      <c r="E33" s="61"/>
      <c r="F33" s="61"/>
      <c r="G33" s="61"/>
      <c r="H33" s="61"/>
      <c r="I33" s="61"/>
      <c r="J33" s="61"/>
      <c r="K33" s="61"/>
      <c r="L33" s="61"/>
      <c r="M33" s="61"/>
      <c r="N33" s="63"/>
      <c r="O33" s="64"/>
      <c r="U33" s="77"/>
      <c r="V33" s="84"/>
    </row>
    <row r="34" spans="1:24" s="21" customFormat="1">
      <c r="A34" s="61"/>
      <c r="B34" s="61"/>
      <c r="C34" s="62"/>
      <c r="D34" s="62"/>
      <c r="E34" s="61"/>
      <c r="F34" s="61"/>
      <c r="G34" s="61"/>
      <c r="H34" s="61"/>
      <c r="I34" s="61"/>
      <c r="J34" s="61"/>
      <c r="K34" s="61"/>
      <c r="L34" s="61"/>
      <c r="M34" s="61"/>
      <c r="N34" s="63"/>
      <c r="O34" s="64"/>
      <c r="U34" s="77"/>
      <c r="V34" s="78"/>
    </row>
    <row r="35" spans="1:24" s="21" customFormat="1">
      <c r="A35" s="61"/>
      <c r="B35" s="61"/>
      <c r="C35" s="62"/>
      <c r="D35" s="62"/>
      <c r="E35" s="61"/>
      <c r="F35" s="61"/>
      <c r="G35" s="61"/>
      <c r="H35" s="61"/>
      <c r="I35" s="61"/>
      <c r="J35" s="61"/>
      <c r="K35" s="61"/>
      <c r="L35" s="61"/>
      <c r="M35" s="61"/>
      <c r="N35" s="107"/>
      <c r="O35" s="64"/>
      <c r="U35" s="87"/>
      <c r="V35" s="78"/>
    </row>
    <row r="36" spans="1:24" s="21" customFormat="1">
      <c r="A36" s="61"/>
      <c r="B36" s="61"/>
      <c r="C36" s="62"/>
      <c r="D36" s="62"/>
      <c r="E36" s="61"/>
      <c r="F36" s="61"/>
      <c r="G36" s="61"/>
      <c r="H36" s="61"/>
      <c r="I36" s="61"/>
      <c r="J36" s="61"/>
      <c r="K36" s="61"/>
      <c r="L36" s="61"/>
      <c r="M36" s="61"/>
      <c r="N36" s="63"/>
      <c r="O36" s="64"/>
      <c r="U36" s="88"/>
      <c r="V36" s="78"/>
    </row>
    <row r="37" spans="1:24" s="21" customFormat="1">
      <c r="C37" s="30"/>
      <c r="D37" s="30"/>
      <c r="N37" s="50"/>
      <c r="O37" s="22"/>
      <c r="U37" s="75"/>
      <c r="V37" s="78"/>
    </row>
    <row r="38" spans="1:24" s="21" customFormat="1">
      <c r="C38" s="30"/>
      <c r="D38" s="30"/>
      <c r="N38" s="50"/>
      <c r="O38" s="22"/>
      <c r="U38" s="75"/>
      <c r="V38" s="78"/>
    </row>
    <row r="39" spans="1:24" s="21" customFormat="1">
      <c r="C39" s="30"/>
      <c r="D39" s="30"/>
      <c r="N39" s="50"/>
      <c r="O39" s="22"/>
      <c r="U39" s="75"/>
      <c r="V39" s="78"/>
      <c r="X39" s="100"/>
    </row>
    <row r="40" spans="1:24" s="21" customFormat="1">
      <c r="C40" s="30"/>
      <c r="D40" s="30"/>
      <c r="N40" s="50"/>
      <c r="O40" s="22"/>
      <c r="U40" s="75"/>
      <c r="V40" s="84"/>
    </row>
    <row r="41" spans="1:24" s="21" customFormat="1">
      <c r="A41" s="67"/>
      <c r="B41" s="67"/>
      <c r="C41" s="68"/>
      <c r="D41" s="68"/>
      <c r="E41" s="67"/>
      <c r="F41" s="67"/>
      <c r="G41" s="67"/>
      <c r="H41" s="67"/>
      <c r="I41" s="67"/>
      <c r="J41" s="67"/>
      <c r="K41" s="67"/>
      <c r="L41" s="67"/>
      <c r="M41" s="67"/>
      <c r="N41" s="69"/>
      <c r="O41" s="70"/>
      <c r="U41" s="75"/>
      <c r="V41" s="78"/>
    </row>
    <row r="42" spans="1:24" s="21" customFormat="1">
      <c r="C42" s="30"/>
      <c r="D42" s="30"/>
      <c r="N42" s="50"/>
      <c r="O42" s="22"/>
      <c r="U42" s="75"/>
      <c r="V42" s="78"/>
    </row>
    <row r="43" spans="1:24" s="21" customFormat="1">
      <c r="C43" s="30"/>
      <c r="D43" s="30"/>
      <c r="N43" s="50"/>
      <c r="O43" s="22"/>
      <c r="U43" s="23"/>
    </row>
    <row r="44" spans="1:24" s="21" customFormat="1">
      <c r="C44" s="30"/>
      <c r="D44" s="30"/>
      <c r="N44" s="50"/>
      <c r="O44" s="22"/>
      <c r="U44" s="75"/>
      <c r="V44" s="78"/>
    </row>
    <row r="45" spans="1:24" s="21" customFormat="1">
      <c r="C45" s="30"/>
      <c r="D45" s="30"/>
      <c r="N45" s="50"/>
      <c r="O45" s="22"/>
      <c r="U45" s="75"/>
      <c r="V45" s="78"/>
    </row>
    <row r="46" spans="1:24" s="21" customFormat="1">
      <c r="C46" s="30"/>
      <c r="D46" s="30"/>
      <c r="N46" s="50"/>
      <c r="O46" s="22"/>
      <c r="U46" s="75"/>
      <c r="V46" s="78"/>
    </row>
    <row r="47" spans="1:24" s="21" customFormat="1" ht="13.8">
      <c r="C47" s="30"/>
      <c r="D47" s="30"/>
      <c r="E47" s="76"/>
      <c r="N47" s="50"/>
      <c r="O47" s="22"/>
      <c r="U47" s="75"/>
      <c r="V47" s="78"/>
    </row>
    <row r="48" spans="1:24" s="21" customFormat="1" ht="10.8" thickBot="1">
      <c r="C48" s="30"/>
      <c r="D48" s="30"/>
      <c r="L48" s="24"/>
      <c r="N48" s="50"/>
      <c r="O48" s="22"/>
      <c r="P48" s="57"/>
      <c r="Q48" s="57"/>
      <c r="R48" s="57"/>
      <c r="S48" s="57"/>
      <c r="T48" s="57"/>
      <c r="U48" s="113"/>
      <c r="V48" s="78"/>
    </row>
    <row r="49" spans="1:26" s="61" customFormat="1">
      <c r="A49" s="21"/>
      <c r="B49" s="21"/>
      <c r="C49" s="30"/>
      <c r="D49" s="30"/>
      <c r="E49" s="21"/>
      <c r="F49" s="21"/>
      <c r="G49" s="21"/>
      <c r="H49" s="21"/>
      <c r="I49" s="21"/>
      <c r="J49" s="21"/>
      <c r="K49" s="21"/>
      <c r="L49" s="24"/>
      <c r="M49" s="21"/>
      <c r="N49" s="50"/>
      <c r="O49" s="22"/>
      <c r="P49" s="21"/>
      <c r="Q49" s="21"/>
      <c r="R49" s="21"/>
      <c r="S49" s="21"/>
      <c r="T49" s="21"/>
      <c r="U49" s="75"/>
      <c r="V49" s="78"/>
      <c r="W49" s="21"/>
      <c r="X49" s="21"/>
      <c r="Y49" s="21"/>
      <c r="Z49" s="21"/>
    </row>
    <row r="50" spans="1:26" s="61" customFormat="1">
      <c r="A50" s="67"/>
      <c r="B50" s="67"/>
      <c r="C50" s="68"/>
      <c r="D50" s="68"/>
      <c r="E50" s="67"/>
      <c r="F50" s="67"/>
      <c r="G50" s="67"/>
      <c r="H50" s="67"/>
      <c r="I50" s="67"/>
      <c r="J50" s="67"/>
      <c r="K50" s="67"/>
      <c r="L50" s="96"/>
      <c r="M50" s="67"/>
      <c r="N50" s="69"/>
      <c r="O50" s="70"/>
      <c r="P50" s="21"/>
      <c r="Q50" s="21"/>
      <c r="R50" s="21"/>
      <c r="S50" s="21"/>
      <c r="T50" s="21"/>
      <c r="U50" s="75"/>
      <c r="V50" s="78"/>
      <c r="W50" s="21"/>
      <c r="X50" s="21"/>
      <c r="Y50" s="21"/>
      <c r="Z50" s="21"/>
    </row>
    <row r="51" spans="1:26" s="61" customFormat="1">
      <c r="A51" s="21"/>
      <c r="B51" s="21"/>
      <c r="C51" s="30"/>
      <c r="D51" s="30"/>
      <c r="E51" s="21"/>
      <c r="F51" s="21"/>
      <c r="G51" s="21"/>
      <c r="H51" s="21"/>
      <c r="I51" s="21"/>
      <c r="J51" s="21"/>
      <c r="K51" s="21"/>
      <c r="L51" s="21"/>
      <c r="M51" s="21"/>
      <c r="N51" s="50"/>
      <c r="O51" s="22"/>
      <c r="P51" s="21"/>
      <c r="Q51" s="21"/>
      <c r="R51" s="21"/>
      <c r="S51" s="21"/>
      <c r="T51" s="21"/>
      <c r="U51" s="75"/>
      <c r="V51" s="78"/>
      <c r="W51" s="21"/>
      <c r="X51" s="21"/>
      <c r="Y51" s="21"/>
      <c r="Z51" s="21"/>
    </row>
    <row r="52" spans="1:26" s="61" customFormat="1">
      <c r="A52" s="67"/>
      <c r="B52" s="67"/>
      <c r="C52" s="68"/>
      <c r="D52" s="68"/>
      <c r="E52" s="67"/>
      <c r="F52" s="67"/>
      <c r="G52" s="67"/>
      <c r="H52" s="67"/>
      <c r="I52" s="67"/>
      <c r="J52" s="67"/>
      <c r="K52" s="67"/>
      <c r="L52" s="67"/>
      <c r="M52" s="67"/>
      <c r="N52" s="69"/>
      <c r="O52" s="70"/>
      <c r="P52" s="21"/>
      <c r="Q52" s="21"/>
      <c r="R52" s="21"/>
      <c r="S52" s="21"/>
      <c r="T52" s="21"/>
      <c r="U52" s="75"/>
      <c r="V52" s="78"/>
      <c r="W52" s="21"/>
      <c r="X52" s="21"/>
      <c r="Y52" s="21"/>
      <c r="Z52" s="21"/>
    </row>
    <row r="53" spans="1:26" s="61" customFormat="1">
      <c r="A53" s="21"/>
      <c r="B53" s="21"/>
      <c r="C53" s="30"/>
      <c r="D53" s="30"/>
      <c r="E53" s="21"/>
      <c r="F53" s="21"/>
      <c r="G53" s="21"/>
      <c r="H53" s="21"/>
      <c r="I53" s="21"/>
      <c r="J53" s="21"/>
      <c r="K53" s="21"/>
      <c r="L53" s="21"/>
      <c r="M53" s="21"/>
      <c r="N53" s="50"/>
      <c r="O53" s="22"/>
      <c r="P53" s="21"/>
      <c r="Q53" s="21"/>
      <c r="R53" s="21"/>
      <c r="S53" s="21"/>
      <c r="T53" s="21"/>
      <c r="U53" s="75"/>
      <c r="V53" s="78"/>
      <c r="W53" s="21"/>
      <c r="X53" s="21"/>
      <c r="Y53" s="21"/>
      <c r="Z53" s="21"/>
    </row>
    <row r="54" spans="1:26" s="61" customFormat="1">
      <c r="A54" s="21"/>
      <c r="B54" s="21"/>
      <c r="C54" s="30"/>
      <c r="D54" s="30"/>
      <c r="E54" s="21"/>
      <c r="F54" s="21"/>
      <c r="G54" s="21"/>
      <c r="H54" s="21"/>
      <c r="I54" s="21"/>
      <c r="J54" s="21"/>
      <c r="K54" s="21"/>
      <c r="L54" s="21"/>
      <c r="M54" s="21"/>
      <c r="N54" s="50"/>
      <c r="O54" s="22"/>
      <c r="P54" s="102"/>
      <c r="Q54" s="102"/>
      <c r="R54" s="102"/>
      <c r="S54" s="102"/>
      <c r="T54" s="102"/>
      <c r="U54" s="105"/>
      <c r="V54" s="106"/>
      <c r="W54" s="102"/>
      <c r="X54" s="102"/>
      <c r="Y54" s="102"/>
      <c r="Z54" s="102"/>
    </row>
    <row r="55" spans="1:26" s="61" customFormat="1">
      <c r="A55" s="21"/>
      <c r="B55" s="21"/>
      <c r="C55" s="30"/>
      <c r="D55" s="30"/>
      <c r="E55" s="21"/>
      <c r="F55" s="21"/>
      <c r="G55" s="21"/>
      <c r="H55" s="21"/>
      <c r="I55" s="21"/>
      <c r="J55" s="21"/>
      <c r="K55" s="21"/>
      <c r="L55" s="21"/>
      <c r="M55" s="21"/>
      <c r="N55" s="50"/>
      <c r="O55" s="22"/>
      <c r="P55" s="21"/>
      <c r="Q55" s="21"/>
      <c r="R55" s="21"/>
      <c r="S55" s="21"/>
      <c r="T55" s="21"/>
      <c r="U55" s="75"/>
      <c r="V55" s="78"/>
      <c r="W55" s="21"/>
      <c r="X55" s="21"/>
      <c r="Y55" s="21"/>
      <c r="Z55" s="21"/>
    </row>
    <row r="56" spans="1:26" s="67" customFormat="1">
      <c r="A56" s="21"/>
      <c r="B56" s="21"/>
      <c r="C56" s="30"/>
      <c r="D56" s="30"/>
      <c r="E56" s="21"/>
      <c r="F56" s="21"/>
      <c r="G56" s="21"/>
      <c r="H56" s="21"/>
      <c r="I56" s="21"/>
      <c r="J56" s="21"/>
      <c r="K56" s="21"/>
      <c r="L56" s="21"/>
      <c r="M56" s="21"/>
      <c r="N56" s="50"/>
      <c r="O56" s="22"/>
      <c r="P56" s="21"/>
      <c r="Q56" s="21"/>
      <c r="R56" s="21"/>
      <c r="S56" s="21"/>
      <c r="T56" s="21"/>
      <c r="U56" s="75"/>
      <c r="V56" s="78"/>
      <c r="W56" s="21"/>
      <c r="X56" s="21"/>
      <c r="Y56" s="21"/>
      <c r="Z56" s="21"/>
    </row>
    <row r="57" spans="1:26" s="61" customFormat="1">
      <c r="A57" s="67"/>
      <c r="B57" s="67"/>
      <c r="C57" s="68"/>
      <c r="D57" s="68"/>
      <c r="E57" s="67"/>
      <c r="F57" s="67"/>
      <c r="G57" s="67"/>
      <c r="H57" s="67"/>
      <c r="I57" s="67"/>
      <c r="J57" s="67"/>
      <c r="K57" s="67"/>
      <c r="L57" s="67"/>
      <c r="M57" s="67"/>
      <c r="N57" s="69"/>
      <c r="O57" s="70"/>
      <c r="P57" s="21"/>
      <c r="Q57" s="21"/>
      <c r="R57" s="21"/>
      <c r="S57" s="21"/>
      <c r="T57" s="21"/>
      <c r="U57" s="75"/>
      <c r="V57" s="78"/>
      <c r="W57" s="21"/>
      <c r="X57" s="21"/>
      <c r="Y57" s="21"/>
      <c r="Z57" s="21"/>
    </row>
    <row r="58" spans="1:26" s="61" customFormat="1">
      <c r="A58" s="21"/>
      <c r="B58" s="21"/>
      <c r="C58" s="30"/>
      <c r="D58" s="30"/>
      <c r="E58" s="21"/>
      <c r="F58" s="21"/>
      <c r="G58" s="21"/>
      <c r="H58" s="21"/>
      <c r="I58" s="21"/>
      <c r="J58" s="21"/>
      <c r="K58" s="21"/>
      <c r="L58" s="21"/>
      <c r="M58" s="21"/>
      <c r="N58" s="50"/>
      <c r="O58" s="22"/>
      <c r="P58" s="21"/>
      <c r="Q58" s="21"/>
      <c r="R58" s="21"/>
      <c r="S58" s="21"/>
      <c r="T58" s="21"/>
      <c r="U58" s="75"/>
      <c r="V58" s="78"/>
      <c r="W58" s="21"/>
      <c r="X58" s="21"/>
      <c r="Y58" s="21"/>
      <c r="Z58" s="21"/>
    </row>
    <row r="59" spans="1:26" s="61" customFormat="1">
      <c r="A59" s="21"/>
      <c r="B59" s="21"/>
      <c r="C59" s="30"/>
      <c r="D59" s="30"/>
      <c r="E59" s="21"/>
      <c r="F59" s="21"/>
      <c r="G59" s="21"/>
      <c r="H59" s="21"/>
      <c r="I59" s="21"/>
      <c r="J59" s="21"/>
      <c r="K59" s="21"/>
      <c r="L59" s="21"/>
      <c r="M59" s="21"/>
      <c r="N59" s="50"/>
      <c r="O59" s="22"/>
      <c r="P59" s="21"/>
      <c r="Q59" s="21"/>
      <c r="R59" s="21"/>
      <c r="S59" s="21"/>
      <c r="T59" s="21"/>
      <c r="U59" s="75"/>
      <c r="V59" s="78"/>
      <c r="W59" s="21"/>
      <c r="X59" s="21"/>
      <c r="Y59" s="21"/>
      <c r="Z59" s="21"/>
    </row>
    <row r="60" spans="1:26" s="61" customFormat="1">
      <c r="A60" s="21"/>
      <c r="B60" s="21"/>
      <c r="C60" s="30"/>
      <c r="D60" s="30"/>
      <c r="E60" s="21"/>
      <c r="F60" s="21"/>
      <c r="G60" s="21"/>
      <c r="H60" s="21"/>
      <c r="I60" s="21"/>
      <c r="J60" s="21"/>
      <c r="K60" s="21"/>
      <c r="L60" s="21"/>
      <c r="M60" s="21"/>
      <c r="N60" s="50"/>
      <c r="O60" s="22"/>
      <c r="P60" s="21"/>
      <c r="Q60" s="21"/>
      <c r="R60" s="21"/>
      <c r="S60" s="21"/>
      <c r="T60" s="21"/>
      <c r="U60" s="75"/>
      <c r="V60" s="78"/>
      <c r="W60" s="21"/>
      <c r="X60" s="21"/>
      <c r="Y60" s="21"/>
      <c r="Z60" s="21"/>
    </row>
    <row r="61" spans="1:26" s="21" customFormat="1">
      <c r="C61" s="30"/>
      <c r="D61" s="30"/>
      <c r="L61" s="24"/>
      <c r="N61" s="50"/>
      <c r="O61" s="22"/>
      <c r="U61" s="75"/>
      <c r="V61" s="78"/>
    </row>
    <row r="62" spans="1:26" s="21" customFormat="1">
      <c r="C62" s="30"/>
      <c r="D62" s="30"/>
      <c r="N62" s="50"/>
      <c r="O62" s="22"/>
      <c r="P62" s="67"/>
      <c r="Q62" s="67"/>
      <c r="R62" s="67"/>
      <c r="S62" s="67"/>
      <c r="T62" s="67"/>
      <c r="U62" s="93"/>
      <c r="V62" s="94"/>
      <c r="W62" s="67"/>
      <c r="X62" s="67"/>
      <c r="Y62" s="67"/>
      <c r="Z62" s="67"/>
    </row>
    <row r="63" spans="1:26" s="21" customFormat="1">
      <c r="C63" s="30"/>
      <c r="D63" s="30"/>
      <c r="N63" s="50"/>
      <c r="O63" s="22"/>
      <c r="U63" s="75"/>
      <c r="V63" s="78"/>
    </row>
    <row r="64" spans="1:26" s="21" customFormat="1">
      <c r="C64" s="30"/>
      <c r="D64" s="30"/>
      <c r="N64" s="50"/>
      <c r="O64" s="22"/>
      <c r="U64" s="75"/>
      <c r="V64" s="78"/>
    </row>
    <row r="65" spans="1:26" s="21" customFormat="1">
      <c r="C65" s="30"/>
      <c r="D65" s="30"/>
      <c r="N65" s="50"/>
      <c r="O65" s="22"/>
      <c r="U65" s="75"/>
      <c r="V65" s="78"/>
    </row>
    <row r="66" spans="1:26" s="21" customFormat="1" ht="13.2">
      <c r="C66" s="30"/>
      <c r="D66" s="30"/>
      <c r="N66" s="60"/>
      <c r="O66" s="22"/>
      <c r="P66" s="8"/>
      <c r="Q66" s="8"/>
      <c r="R66" s="8"/>
      <c r="S66" s="8"/>
      <c r="T66" s="8"/>
      <c r="U66" s="13"/>
      <c r="V66" s="8"/>
      <c r="W66" s="8"/>
      <c r="X66" s="8"/>
      <c r="Y66" s="8"/>
      <c r="Z66" s="8"/>
    </row>
    <row r="67" spans="1:26" s="67" customFormat="1" ht="13.2">
      <c r="A67" s="21"/>
      <c r="B67" s="21"/>
      <c r="C67" s="30"/>
      <c r="D67" s="30"/>
      <c r="E67" s="21"/>
      <c r="F67" s="21"/>
      <c r="G67" s="21"/>
      <c r="H67" s="21"/>
      <c r="I67" s="21"/>
      <c r="J67" s="21"/>
      <c r="K67" s="21"/>
      <c r="L67" s="21"/>
      <c r="M67" s="21"/>
      <c r="N67" s="60"/>
      <c r="O67" s="22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</row>
    <row r="68" spans="1:26" s="21" customFormat="1" ht="13.2">
      <c r="C68" s="30"/>
      <c r="D68" s="30"/>
      <c r="N68" s="109"/>
      <c r="O68" s="22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</row>
    <row r="69" spans="1:26" s="21" customFormat="1" ht="13.2">
      <c r="C69" s="30"/>
      <c r="D69" s="30"/>
      <c r="N69" s="60"/>
      <c r="O69" s="22"/>
      <c r="P69" s="8"/>
      <c r="Q69" s="8"/>
      <c r="R69" s="8"/>
      <c r="S69" s="8"/>
      <c r="T69" s="8"/>
      <c r="U69" s="13"/>
      <c r="V69" s="8"/>
      <c r="W69" s="8"/>
      <c r="X69" s="8"/>
      <c r="Y69" s="8"/>
      <c r="Z69" s="8"/>
    </row>
    <row r="70" spans="1:26" s="21" customFormat="1" ht="13.2">
      <c r="C70" s="30"/>
      <c r="D70" s="30"/>
      <c r="N70" s="60"/>
      <c r="O70" s="22"/>
      <c r="P70" s="8"/>
      <c r="Q70" s="8"/>
      <c r="R70" s="8"/>
      <c r="S70" s="8"/>
      <c r="T70" s="8"/>
      <c r="U70" s="13"/>
      <c r="V70" s="8"/>
      <c r="W70" s="8"/>
      <c r="X70" s="8"/>
      <c r="Y70" s="8"/>
      <c r="Z70" s="8"/>
    </row>
    <row r="71" spans="1:26" s="21" customFormat="1" ht="13.2">
      <c r="C71" s="136" t="s">
        <v>9</v>
      </c>
      <c r="D71" s="30"/>
      <c r="N71" s="60"/>
      <c r="O71" s="22"/>
      <c r="P71" s="8"/>
      <c r="Q71" s="8"/>
      <c r="R71" s="8"/>
      <c r="S71" s="8"/>
      <c r="T71" s="8"/>
      <c r="U71" s="13"/>
      <c r="V71" s="8"/>
      <c r="W71" s="8"/>
      <c r="X71" s="8"/>
      <c r="Y71" s="8"/>
      <c r="Z71" s="8"/>
    </row>
    <row r="72" spans="1:26" s="21" customFormat="1" ht="13.2">
      <c r="A72" s="20"/>
      <c r="C72" s="147" t="s">
        <v>437</v>
      </c>
      <c r="D72" s="30"/>
      <c r="N72" s="60"/>
      <c r="O72" s="22"/>
      <c r="P72" s="8"/>
      <c r="Q72" s="8"/>
      <c r="R72" s="8"/>
      <c r="S72" s="8"/>
      <c r="T72" s="8"/>
      <c r="U72" s="13"/>
      <c r="V72" s="8"/>
      <c r="W72" s="8"/>
      <c r="X72" s="8"/>
      <c r="Y72" s="8"/>
      <c r="Z72" s="8"/>
    </row>
    <row r="73" spans="1:26" s="21" customFormat="1" ht="13.2">
      <c r="A73" s="20"/>
      <c r="C73" s="151" t="s">
        <v>376</v>
      </c>
      <c r="D73" s="30"/>
      <c r="N73" s="109"/>
      <c r="O73" s="22"/>
      <c r="P73" s="8"/>
      <c r="Q73" s="8"/>
      <c r="R73" s="8"/>
      <c r="S73" s="8"/>
      <c r="T73" s="8"/>
      <c r="U73" s="13"/>
      <c r="V73" s="8"/>
      <c r="W73" s="8"/>
      <c r="X73" s="8"/>
      <c r="Y73" s="8"/>
      <c r="Z73" s="8"/>
    </row>
    <row r="74" spans="1:26" s="21" customFormat="1" ht="13.2">
      <c r="A74" s="20"/>
      <c r="C74" s="136"/>
      <c r="D74" s="30"/>
      <c r="N74" s="60"/>
      <c r="O74" s="22"/>
      <c r="P74" s="8"/>
      <c r="Q74" s="8"/>
      <c r="R74" s="8"/>
      <c r="S74" s="8"/>
      <c r="T74" s="8"/>
      <c r="U74" s="13"/>
      <c r="V74" s="8"/>
      <c r="W74" s="8"/>
      <c r="X74" s="8"/>
      <c r="Y74" s="8"/>
      <c r="Z74" s="8"/>
    </row>
    <row r="75" spans="1:26" s="21" customFormat="1">
      <c r="A75" s="10"/>
      <c r="B75" s="8"/>
      <c r="C75" s="151" t="s">
        <v>409</v>
      </c>
      <c r="D75" s="33"/>
      <c r="E75" s="8"/>
      <c r="F75" s="8"/>
      <c r="G75" s="8"/>
      <c r="H75" s="8"/>
      <c r="I75" s="8"/>
      <c r="J75" s="8"/>
      <c r="K75" s="8"/>
      <c r="L75" s="8"/>
      <c r="M75" s="8"/>
      <c r="N75" s="49"/>
      <c r="O75" s="14"/>
      <c r="U75" s="23"/>
    </row>
    <row r="76" spans="1:26" s="21" customFormat="1">
      <c r="A76" s="10"/>
      <c r="B76" s="8"/>
      <c r="C76" s="151" t="s">
        <v>401</v>
      </c>
      <c r="D76" s="34"/>
      <c r="E76" s="8"/>
      <c r="F76" s="8"/>
      <c r="G76" s="8"/>
      <c r="H76" s="8"/>
      <c r="I76" s="8"/>
      <c r="J76" s="8"/>
      <c r="K76" s="8"/>
      <c r="L76" s="8"/>
      <c r="M76" s="8"/>
      <c r="N76" s="49"/>
      <c r="O76" s="14"/>
      <c r="U76" s="23"/>
    </row>
    <row r="77" spans="1:26" s="21" customFormat="1">
      <c r="A77" s="10"/>
      <c r="B77" s="8"/>
      <c r="C77" s="147" t="s">
        <v>448</v>
      </c>
      <c r="D77" s="34"/>
      <c r="E77" s="8"/>
      <c r="F77" s="8"/>
      <c r="G77" s="8"/>
      <c r="H77" s="8"/>
      <c r="I77" s="8"/>
      <c r="J77" s="8"/>
      <c r="K77" s="8"/>
      <c r="L77" s="8"/>
      <c r="M77" s="8"/>
      <c r="N77" s="49"/>
      <c r="O77" s="14"/>
      <c r="U77" s="36"/>
    </row>
    <row r="78" spans="1:26" s="21" customFormat="1">
      <c r="A78" s="10"/>
      <c r="B78" s="8"/>
      <c r="C78" s="147" t="s">
        <v>502</v>
      </c>
      <c r="D78" s="33"/>
      <c r="E78" s="8"/>
      <c r="F78" s="8"/>
      <c r="G78" s="8"/>
      <c r="H78" s="8"/>
      <c r="I78" s="8"/>
      <c r="J78" s="8"/>
      <c r="K78" s="8"/>
      <c r="L78" s="8"/>
      <c r="M78" s="8"/>
      <c r="N78" s="49"/>
      <c r="O78" s="12"/>
      <c r="U78" s="23"/>
    </row>
    <row r="79" spans="1:26" s="21" customFormat="1">
      <c r="A79" s="10"/>
      <c r="B79" s="8"/>
      <c r="C79" s="181" t="s">
        <v>495</v>
      </c>
      <c r="D79" s="33"/>
      <c r="E79" s="8"/>
      <c r="F79" s="8"/>
      <c r="G79" s="8"/>
      <c r="H79" s="8"/>
      <c r="I79" s="8"/>
      <c r="J79" s="8"/>
      <c r="K79" s="8"/>
      <c r="L79" s="8"/>
      <c r="M79" s="8"/>
      <c r="N79" s="49"/>
      <c r="O79" s="12"/>
      <c r="U79" s="23"/>
    </row>
    <row r="80" spans="1:26" s="21" customFormat="1">
      <c r="A80" s="10"/>
      <c r="B80" s="8"/>
      <c r="C80" s="147" t="s">
        <v>554</v>
      </c>
      <c r="D80" s="33"/>
      <c r="E80" s="8"/>
      <c r="F80" s="8"/>
      <c r="G80" s="8"/>
      <c r="H80" s="8"/>
      <c r="I80" s="8"/>
      <c r="J80" s="8"/>
      <c r="K80" s="8"/>
      <c r="L80" s="8"/>
      <c r="M80" s="8"/>
      <c r="N80" s="49"/>
      <c r="O80" s="12"/>
      <c r="U80" s="23"/>
    </row>
    <row r="81" spans="1:26" s="21" customFormat="1">
      <c r="A81" s="10"/>
      <c r="B81" s="8"/>
      <c r="C81" s="147" t="s">
        <v>469</v>
      </c>
      <c r="D81" s="33"/>
      <c r="E81" s="8"/>
      <c r="F81" s="8"/>
      <c r="G81" s="8"/>
      <c r="H81" s="8"/>
      <c r="I81" s="8"/>
      <c r="J81" s="8"/>
      <c r="K81" s="8"/>
      <c r="L81" s="8"/>
      <c r="M81" s="8"/>
      <c r="N81" s="49"/>
      <c r="O81" s="12"/>
      <c r="U81" s="23"/>
    </row>
    <row r="82" spans="1:26" s="21" customFormat="1">
      <c r="A82" s="10"/>
      <c r="B82" s="8"/>
      <c r="C82" s="147" t="s">
        <v>513</v>
      </c>
      <c r="D82" s="33"/>
      <c r="E82" s="8"/>
      <c r="F82" s="8"/>
      <c r="G82" s="8"/>
      <c r="H82" s="8"/>
      <c r="I82" s="8"/>
      <c r="J82" s="8"/>
      <c r="K82" s="8"/>
      <c r="L82" s="8"/>
      <c r="M82" s="8"/>
      <c r="N82" s="49"/>
      <c r="O82" s="12"/>
      <c r="U82" s="23"/>
    </row>
    <row r="83" spans="1:26" s="21" customFormat="1">
      <c r="A83" s="10"/>
      <c r="B83" s="8"/>
      <c r="C83" s="147" t="s">
        <v>565</v>
      </c>
      <c r="D83" s="33"/>
      <c r="E83" s="8"/>
      <c r="F83" s="8"/>
      <c r="G83" s="8"/>
      <c r="H83" s="8"/>
      <c r="I83" s="8"/>
      <c r="J83" s="8"/>
      <c r="K83" s="8"/>
      <c r="L83" s="8"/>
      <c r="M83" s="8"/>
      <c r="N83" s="49"/>
      <c r="O83" s="16"/>
      <c r="U83" s="23"/>
    </row>
    <row r="84" spans="1:26" s="21" customFormat="1">
      <c r="A84" s="10"/>
      <c r="B84" s="8"/>
      <c r="C84" s="147" t="s">
        <v>615</v>
      </c>
      <c r="D84" s="33"/>
      <c r="E84" s="8"/>
      <c r="F84" s="8"/>
      <c r="G84" s="8"/>
      <c r="H84" s="8"/>
      <c r="I84" s="8"/>
      <c r="J84" s="8"/>
      <c r="K84" s="8"/>
      <c r="L84" s="8"/>
      <c r="M84" s="8"/>
      <c r="N84" s="49"/>
      <c r="O84" s="12"/>
      <c r="U84" s="23"/>
    </row>
    <row r="85" spans="1:26" s="21" customFormat="1">
      <c r="A85" s="10"/>
      <c r="B85" s="8"/>
      <c r="C85" s="151" t="s">
        <v>598</v>
      </c>
      <c r="D85" s="33"/>
      <c r="E85" s="8"/>
      <c r="F85" s="8"/>
      <c r="G85" s="8"/>
      <c r="H85" s="8"/>
      <c r="I85" s="8"/>
      <c r="J85" s="8"/>
      <c r="K85" s="8"/>
      <c r="L85" s="8"/>
      <c r="M85" s="8"/>
      <c r="N85" s="49"/>
      <c r="O85" s="12"/>
      <c r="U85" s="43"/>
    </row>
    <row r="86" spans="1:26" s="21" customFormat="1">
      <c r="A86" s="10"/>
      <c r="B86" s="8"/>
      <c r="C86" s="151"/>
      <c r="D86" s="33"/>
      <c r="E86" s="8"/>
      <c r="F86" s="8"/>
      <c r="G86" s="8"/>
      <c r="H86" s="8"/>
      <c r="I86" s="8"/>
      <c r="J86" s="8"/>
      <c r="K86" s="8"/>
      <c r="L86" s="8"/>
      <c r="M86" s="8"/>
      <c r="N86" s="49"/>
      <c r="O86" s="12"/>
      <c r="U86" s="43"/>
    </row>
    <row r="87" spans="1:26" s="67" customFormat="1">
      <c r="A87" s="10"/>
      <c r="B87" s="8"/>
      <c r="C87" s="151" t="s">
        <v>625</v>
      </c>
      <c r="D87" s="33"/>
      <c r="E87" s="8"/>
      <c r="F87" s="8"/>
      <c r="G87" s="8"/>
      <c r="H87" s="8"/>
      <c r="I87" s="8"/>
      <c r="J87" s="8"/>
      <c r="K87" s="8"/>
      <c r="L87" s="8"/>
      <c r="M87" s="8"/>
      <c r="N87" s="49"/>
      <c r="O87" s="12"/>
      <c r="P87" s="21"/>
      <c r="Q87" s="21"/>
      <c r="R87" s="21"/>
      <c r="S87" s="21"/>
      <c r="T87" s="21"/>
      <c r="U87" s="43"/>
      <c r="V87" s="21"/>
      <c r="W87" s="21"/>
      <c r="X87" s="21"/>
      <c r="Y87" s="21"/>
      <c r="Z87" s="21"/>
    </row>
    <row r="88" spans="1:26" s="21" customFormat="1">
      <c r="A88" s="17"/>
      <c r="B88" s="8"/>
      <c r="C88" s="147" t="s">
        <v>620</v>
      </c>
      <c r="D88" s="33"/>
      <c r="E88" s="8"/>
      <c r="F88" s="8"/>
      <c r="G88" s="8"/>
      <c r="H88" s="8"/>
      <c r="I88" s="8"/>
      <c r="J88" s="8"/>
      <c r="K88" s="8"/>
      <c r="L88" s="8"/>
      <c r="M88" s="8"/>
      <c r="N88" s="49"/>
      <c r="O88" s="12"/>
      <c r="U88" s="43"/>
    </row>
    <row r="89" spans="1:26" s="21" customFormat="1">
      <c r="A89" s="10"/>
      <c r="B89" s="8"/>
      <c r="C89" s="147" t="s">
        <v>665</v>
      </c>
      <c r="D89" s="31"/>
      <c r="E89" s="8"/>
      <c r="F89" s="8"/>
      <c r="G89" s="8"/>
      <c r="H89" s="8"/>
      <c r="I89" s="8"/>
      <c r="J89" s="8"/>
      <c r="K89" s="8"/>
      <c r="L89" s="8"/>
      <c r="M89" s="8"/>
      <c r="N89" s="49"/>
      <c r="O89" s="7"/>
      <c r="U89" s="43"/>
    </row>
    <row r="90" spans="1:26" s="67" customFormat="1">
      <c r="A90" s="10"/>
      <c r="B90" s="8"/>
      <c r="C90" s="147" t="s">
        <v>607</v>
      </c>
      <c r="D90" s="31"/>
      <c r="E90" s="8"/>
      <c r="F90" s="8"/>
      <c r="G90" s="8"/>
      <c r="H90" s="8"/>
      <c r="I90" s="8"/>
      <c r="J90" s="8"/>
      <c r="K90" s="8"/>
      <c r="L90" s="8"/>
      <c r="M90" s="8"/>
      <c r="N90" s="49"/>
      <c r="O90" s="7"/>
      <c r="P90" s="21"/>
      <c r="Q90" s="21"/>
      <c r="R90" s="21"/>
      <c r="S90" s="21"/>
      <c r="T90" s="21"/>
      <c r="U90" s="43"/>
      <c r="V90" s="21"/>
      <c r="W90" s="21"/>
      <c r="X90" s="21"/>
      <c r="Y90" s="21"/>
      <c r="Z90" s="21"/>
    </row>
    <row r="91" spans="1:26" s="21" customFormat="1">
      <c r="A91" s="20"/>
      <c r="C91" s="147" t="s">
        <v>673</v>
      </c>
      <c r="D91" s="30"/>
      <c r="N91" s="50"/>
      <c r="O91" s="22"/>
      <c r="U91" s="43"/>
    </row>
    <row r="92" spans="1:26" s="21" customFormat="1">
      <c r="C92" s="222" t="s">
        <v>711</v>
      </c>
      <c r="D92" s="30"/>
      <c r="N92" s="51"/>
      <c r="O92" s="22"/>
      <c r="U92" s="43"/>
    </row>
    <row r="93" spans="1:26" s="21" customFormat="1">
      <c r="C93" s="228" t="s">
        <v>683</v>
      </c>
      <c r="D93" s="30"/>
      <c r="L93" s="37"/>
      <c r="N93" s="51"/>
      <c r="O93" s="22"/>
      <c r="U93" s="43"/>
    </row>
    <row r="94" spans="1:26" s="21" customFormat="1">
      <c r="C94" s="222" t="s">
        <v>760</v>
      </c>
      <c r="D94" s="30"/>
      <c r="N94" s="51"/>
      <c r="O94" s="22"/>
      <c r="U94" s="43"/>
    </row>
    <row r="95" spans="1:26" s="21" customFormat="1">
      <c r="A95" s="20"/>
      <c r="C95" s="147" t="s">
        <v>721</v>
      </c>
      <c r="D95" s="30"/>
      <c r="L95" s="24"/>
      <c r="N95" s="50"/>
      <c r="O95" s="22"/>
      <c r="U95" s="43"/>
    </row>
    <row r="96" spans="1:26" s="21" customFormat="1">
      <c r="A96" s="20"/>
      <c r="C96" s="147" t="s">
        <v>764</v>
      </c>
      <c r="D96" s="30"/>
      <c r="N96" s="50"/>
      <c r="O96" s="22"/>
      <c r="U96" s="48"/>
    </row>
    <row r="97" spans="1:26" s="21" customFormat="1">
      <c r="A97" s="25"/>
      <c r="B97" s="26"/>
      <c r="C97" s="147" t="s">
        <v>815</v>
      </c>
      <c r="D97" s="32"/>
      <c r="E97" s="26"/>
      <c r="F97" s="26"/>
      <c r="G97" s="26"/>
      <c r="H97" s="26"/>
      <c r="I97" s="26"/>
      <c r="J97" s="26"/>
      <c r="K97" s="26"/>
      <c r="L97" s="27"/>
      <c r="M97" s="26"/>
      <c r="N97" s="55"/>
      <c r="O97" s="28"/>
      <c r="Q97" s="24"/>
      <c r="U97" s="47"/>
    </row>
    <row r="98" spans="1:26" s="21" customFormat="1">
      <c r="A98" s="20"/>
      <c r="C98" s="147" t="s">
        <v>881</v>
      </c>
      <c r="D98" s="30"/>
      <c r="N98" s="50"/>
      <c r="O98" s="22"/>
      <c r="Q98" s="24"/>
      <c r="U98" s="47"/>
    </row>
    <row r="99" spans="1:26" s="67" customFormat="1" ht="10.8" thickBot="1">
      <c r="A99" s="21"/>
      <c r="B99" s="21"/>
      <c r="C99" s="211" t="s">
        <v>887</v>
      </c>
      <c r="D99" s="30"/>
      <c r="E99" s="21"/>
      <c r="F99" s="21"/>
      <c r="G99" s="21"/>
      <c r="H99" s="21"/>
      <c r="I99" s="21"/>
      <c r="J99" s="21"/>
      <c r="K99" s="21"/>
      <c r="L99" s="24"/>
      <c r="M99" s="21"/>
      <c r="N99" s="50"/>
      <c r="O99" s="22"/>
      <c r="P99" s="21"/>
      <c r="Q99" s="24"/>
      <c r="R99" s="21"/>
      <c r="S99" s="21"/>
      <c r="T99" s="21"/>
      <c r="U99" s="47"/>
      <c r="V99" s="21"/>
      <c r="W99" s="21"/>
      <c r="X99" s="21"/>
      <c r="Y99" s="21"/>
      <c r="Z99" s="21"/>
    </row>
    <row r="100" spans="1:26" s="21" customFormat="1">
      <c r="A100" s="20"/>
      <c r="C100" s="147" t="s">
        <v>786</v>
      </c>
      <c r="D100" s="30"/>
      <c r="L100" s="24"/>
      <c r="N100" s="50"/>
      <c r="O100" s="22"/>
      <c r="U100" s="46"/>
    </row>
    <row r="101" spans="1:26" s="21" customFormat="1" ht="10.8" thickBot="1">
      <c r="C101" s="147" t="s">
        <v>866</v>
      </c>
      <c r="D101" s="30"/>
      <c r="L101" s="24"/>
      <c r="N101" s="50"/>
      <c r="O101" s="22"/>
      <c r="U101" s="23"/>
    </row>
    <row r="102" spans="1:26" s="21" customFormat="1">
      <c r="A102" s="20"/>
      <c r="C102" s="171" t="s">
        <v>940</v>
      </c>
      <c r="D102" s="30"/>
      <c r="L102" s="24"/>
      <c r="N102" s="50"/>
      <c r="O102" s="22"/>
      <c r="P102" s="61"/>
      <c r="Q102" s="61"/>
      <c r="R102" s="61"/>
      <c r="S102" s="61"/>
      <c r="T102" s="61"/>
      <c r="U102" s="65"/>
      <c r="V102" s="61"/>
      <c r="W102" s="61"/>
      <c r="X102" s="61"/>
      <c r="Y102" s="61"/>
      <c r="Z102" s="61"/>
    </row>
    <row r="103" spans="1:26" s="21" customFormat="1">
      <c r="A103" s="20"/>
      <c r="C103" s="147" t="s">
        <v>859</v>
      </c>
      <c r="D103" s="30"/>
      <c r="L103" s="24"/>
      <c r="N103" s="51"/>
      <c r="O103" s="22"/>
      <c r="P103" s="61"/>
      <c r="Q103" s="61"/>
      <c r="R103" s="61"/>
      <c r="S103" s="61"/>
      <c r="T103" s="61"/>
      <c r="U103" s="65"/>
      <c r="V103" s="61"/>
      <c r="W103" s="61"/>
      <c r="X103" s="61"/>
      <c r="Y103" s="61"/>
      <c r="Z103" s="61"/>
    </row>
    <row r="104" spans="1:26" s="21" customFormat="1">
      <c r="A104" s="20"/>
      <c r="C104" s="147" t="s">
        <v>958</v>
      </c>
      <c r="D104" s="30"/>
      <c r="N104" s="51"/>
      <c r="O104" s="45"/>
      <c r="P104" s="61"/>
      <c r="Q104" s="61"/>
      <c r="R104" s="61"/>
      <c r="S104" s="61"/>
      <c r="T104" s="61"/>
      <c r="U104" s="65"/>
      <c r="V104" s="61"/>
      <c r="W104" s="61"/>
      <c r="X104" s="61"/>
      <c r="Y104" s="61"/>
      <c r="Z104" s="61"/>
    </row>
    <row r="105" spans="1:26" s="21" customFormat="1" ht="10.8" thickBot="1">
      <c r="A105" s="20"/>
      <c r="C105" s="147" t="s">
        <v>930</v>
      </c>
      <c r="D105" s="30"/>
      <c r="N105" s="51"/>
      <c r="O105" s="45"/>
      <c r="P105" s="61"/>
      <c r="Q105" s="61"/>
      <c r="R105" s="61"/>
      <c r="S105" s="61"/>
      <c r="T105" s="61"/>
      <c r="U105" s="65"/>
      <c r="V105" s="61"/>
      <c r="W105" s="61"/>
      <c r="X105" s="61"/>
      <c r="Y105" s="61"/>
      <c r="Z105" s="61"/>
    </row>
    <row r="106" spans="1:26" s="21" customFormat="1">
      <c r="A106" s="38"/>
      <c r="B106" s="39"/>
      <c r="C106" s="147"/>
      <c r="D106" s="40"/>
      <c r="E106" s="39"/>
      <c r="F106" s="39"/>
      <c r="G106" s="39"/>
      <c r="H106" s="39"/>
      <c r="I106" s="39"/>
      <c r="J106" s="39"/>
      <c r="K106" s="39"/>
      <c r="L106" s="41"/>
      <c r="M106" s="39"/>
      <c r="N106" s="54"/>
      <c r="O106" s="42"/>
      <c r="P106" s="61"/>
      <c r="Q106" s="61"/>
      <c r="R106" s="61"/>
      <c r="S106" s="61"/>
      <c r="T106" s="61"/>
      <c r="U106" s="65"/>
      <c r="V106" s="61"/>
      <c r="W106" s="61"/>
      <c r="X106" s="61"/>
      <c r="Y106" s="61"/>
      <c r="Z106" s="61"/>
    </row>
    <row r="107" spans="1:26" s="21" customFormat="1">
      <c r="A107" s="20"/>
      <c r="C107" s="147" t="s">
        <v>1050</v>
      </c>
      <c r="D107" s="30"/>
      <c r="K107" s="53"/>
      <c r="L107" s="24"/>
      <c r="N107" s="50"/>
      <c r="O107" s="22"/>
      <c r="P107" s="61"/>
      <c r="Q107" s="61"/>
      <c r="R107" s="61"/>
      <c r="S107" s="61"/>
      <c r="T107" s="61"/>
      <c r="U107" s="65"/>
      <c r="V107" s="61"/>
      <c r="W107" s="61"/>
      <c r="X107" s="61"/>
      <c r="Y107" s="61"/>
      <c r="Z107" s="61"/>
    </row>
    <row r="108" spans="1:26" s="21" customFormat="1">
      <c r="A108" s="20"/>
      <c r="C108" s="147" t="s">
        <v>1010</v>
      </c>
      <c r="D108" s="30"/>
      <c r="N108" s="50"/>
      <c r="O108" s="45"/>
      <c r="P108" s="61"/>
      <c r="Q108" s="61"/>
      <c r="R108" s="61"/>
      <c r="S108" s="61"/>
      <c r="T108" s="61"/>
      <c r="U108" s="72"/>
      <c r="V108" s="61"/>
      <c r="W108" s="61"/>
      <c r="X108" s="61"/>
      <c r="Y108" s="61"/>
      <c r="Z108" s="61"/>
    </row>
    <row r="109" spans="1:26" s="21" customFormat="1">
      <c r="A109" s="20"/>
      <c r="C109" s="147" t="s">
        <v>1112</v>
      </c>
      <c r="D109" s="30"/>
      <c r="N109" s="50"/>
      <c r="O109" s="22"/>
      <c r="P109" s="61"/>
      <c r="Q109" s="61"/>
      <c r="R109" s="61"/>
      <c r="S109" s="61"/>
      <c r="T109" s="61"/>
      <c r="U109" s="65"/>
      <c r="V109" s="61"/>
      <c r="W109" s="61"/>
      <c r="X109" s="61"/>
      <c r="Y109" s="61"/>
      <c r="Z109" s="61"/>
    </row>
    <row r="110" spans="1:26" s="21" customFormat="1">
      <c r="A110" s="111"/>
      <c r="B110" s="61"/>
      <c r="C110" s="147" t="s">
        <v>1137</v>
      </c>
      <c r="D110" s="62"/>
      <c r="E110" s="61"/>
      <c r="F110" s="61"/>
      <c r="G110" s="61"/>
      <c r="H110" s="61"/>
      <c r="I110" s="61"/>
      <c r="J110" s="61"/>
      <c r="K110" s="61"/>
      <c r="L110" s="61"/>
      <c r="M110" s="61"/>
      <c r="N110" s="63"/>
      <c r="O110" s="64"/>
      <c r="P110" s="61"/>
      <c r="Q110" s="61"/>
      <c r="R110" s="61"/>
      <c r="S110" s="61"/>
      <c r="T110" s="61"/>
      <c r="U110" s="65"/>
      <c r="V110" s="61"/>
      <c r="W110" s="61"/>
      <c r="X110" s="61"/>
      <c r="Y110" s="61"/>
      <c r="Z110" s="61"/>
    </row>
    <row r="111" spans="1:26" s="21" customFormat="1">
      <c r="A111" s="95"/>
      <c r="B111" s="67"/>
      <c r="C111" s="147"/>
      <c r="D111" s="68"/>
      <c r="E111" s="67"/>
      <c r="F111" s="67"/>
      <c r="G111" s="67"/>
      <c r="H111" s="67"/>
      <c r="I111" s="67"/>
      <c r="J111" s="67"/>
      <c r="K111" s="67"/>
      <c r="L111" s="67"/>
      <c r="M111" s="67"/>
      <c r="N111" s="69"/>
      <c r="O111" s="70"/>
      <c r="U111" s="23"/>
    </row>
    <row r="112" spans="1:26" s="21" customFormat="1">
      <c r="A112" s="111"/>
      <c r="B112" s="61"/>
      <c r="C112" s="147" t="s">
        <v>1164</v>
      </c>
      <c r="D112" s="62"/>
      <c r="E112" s="61"/>
      <c r="F112" s="61"/>
      <c r="G112" s="61"/>
      <c r="H112" s="61"/>
      <c r="I112" s="61"/>
      <c r="J112" s="61"/>
      <c r="K112" s="61"/>
      <c r="L112" s="61"/>
      <c r="M112" s="61"/>
      <c r="N112" s="63"/>
      <c r="O112" s="64"/>
      <c r="U112" s="23"/>
    </row>
    <row r="113" spans="1:26" s="21" customFormat="1">
      <c r="A113" s="20"/>
      <c r="C113" s="147" t="s">
        <v>1020</v>
      </c>
      <c r="D113" s="30"/>
      <c r="N113" s="50"/>
      <c r="O113" s="22"/>
      <c r="U113" s="23"/>
    </row>
    <row r="114" spans="1:26" s="21" customFormat="1">
      <c r="A114" s="20"/>
      <c r="C114" s="147" t="s">
        <v>1179</v>
      </c>
      <c r="D114" s="30"/>
      <c r="N114" s="50"/>
      <c r="O114" s="22"/>
      <c r="U114" s="23"/>
    </row>
    <row r="115" spans="1:26" s="21" customFormat="1">
      <c r="A115" s="20"/>
      <c r="C115" s="147"/>
      <c r="D115" s="30"/>
      <c r="N115" s="50"/>
      <c r="O115" s="22"/>
      <c r="P115" s="67"/>
      <c r="Q115" s="67"/>
      <c r="R115" s="67"/>
      <c r="S115" s="67"/>
      <c r="T115" s="67"/>
      <c r="U115" s="71"/>
      <c r="V115" s="67"/>
      <c r="W115" s="67"/>
      <c r="X115" s="67"/>
      <c r="Y115" s="67"/>
      <c r="Z115" s="67"/>
    </row>
    <row r="116" spans="1:26" s="21" customFormat="1">
      <c r="A116" s="20"/>
      <c r="C116" s="147" t="s">
        <v>1153</v>
      </c>
      <c r="D116" s="30"/>
      <c r="N116" s="50"/>
      <c r="O116" s="22"/>
      <c r="U116" s="75"/>
      <c r="V116" s="79"/>
    </row>
    <row r="117" spans="1:26" s="21" customFormat="1">
      <c r="A117" s="20"/>
      <c r="C117" s="147" t="s">
        <v>1191</v>
      </c>
      <c r="D117" s="30"/>
      <c r="N117" s="50"/>
      <c r="O117" s="22"/>
      <c r="U117" s="75"/>
    </row>
    <row r="118" spans="1:26" s="21" customFormat="1">
      <c r="A118" s="20"/>
      <c r="C118" s="147" t="s">
        <v>1256</v>
      </c>
      <c r="D118" s="30"/>
      <c r="N118" s="50"/>
      <c r="O118" s="22"/>
      <c r="U118" s="75"/>
    </row>
    <row r="119" spans="1:26" s="21" customFormat="1">
      <c r="A119" s="20"/>
      <c r="C119" s="156"/>
      <c r="D119" s="30"/>
      <c r="N119" s="50"/>
      <c r="O119" s="22"/>
      <c r="U119" s="75"/>
    </row>
    <row r="120" spans="1:26" s="21" customFormat="1">
      <c r="A120" s="20"/>
      <c r="C120" s="147" t="s">
        <v>1243</v>
      </c>
      <c r="D120" s="30"/>
      <c r="N120" s="50"/>
      <c r="O120" s="22"/>
      <c r="U120" s="75"/>
      <c r="V120" s="78"/>
    </row>
    <row r="121" spans="1:26" s="21" customFormat="1" ht="13.8">
      <c r="A121" s="20"/>
      <c r="C121" s="147" t="s">
        <v>1290</v>
      </c>
      <c r="D121" s="30"/>
      <c r="E121" s="76"/>
      <c r="N121" s="50"/>
      <c r="O121" s="22"/>
      <c r="U121" s="75"/>
      <c r="V121" s="78"/>
    </row>
    <row r="122" spans="1:26" s="102" customFormat="1">
      <c r="A122" s="20"/>
      <c r="B122" s="21"/>
      <c r="C122" s="147" t="s">
        <v>1264</v>
      </c>
      <c r="D122" s="30"/>
      <c r="E122" s="21"/>
      <c r="F122" s="21"/>
      <c r="G122" s="21"/>
      <c r="H122" s="21"/>
      <c r="I122" s="21"/>
      <c r="J122" s="21"/>
      <c r="K122" s="21"/>
      <c r="L122" s="21"/>
      <c r="M122" s="21"/>
      <c r="N122" s="50"/>
      <c r="O122" s="22"/>
      <c r="P122" s="21"/>
      <c r="Q122" s="21"/>
      <c r="R122" s="21"/>
      <c r="S122" s="21"/>
      <c r="T122" s="21"/>
      <c r="U122" s="88"/>
      <c r="V122" s="78"/>
      <c r="W122" s="21"/>
      <c r="X122" s="21"/>
      <c r="Y122" s="21"/>
      <c r="Z122" s="21"/>
    </row>
    <row r="123" spans="1:26" s="21" customFormat="1" ht="13.8">
      <c r="A123" s="20"/>
      <c r="C123" s="147" t="s">
        <v>1215</v>
      </c>
      <c r="D123" s="30"/>
      <c r="E123" s="76"/>
      <c r="H123" s="90"/>
      <c r="N123" s="50"/>
      <c r="O123" s="22"/>
      <c r="U123" s="88"/>
      <c r="V123" s="78"/>
    </row>
    <row r="124" spans="1:26" s="21" customFormat="1">
      <c r="A124" s="20"/>
      <c r="C124" s="147" t="s">
        <v>1274</v>
      </c>
      <c r="D124" s="30"/>
      <c r="L124" s="24"/>
      <c r="N124" s="50"/>
      <c r="O124" s="22"/>
      <c r="P124" s="67"/>
      <c r="Q124" s="67"/>
      <c r="R124" s="67"/>
      <c r="S124" s="67"/>
      <c r="T124" s="67"/>
      <c r="U124" s="97"/>
      <c r="V124" s="94"/>
      <c r="W124" s="67"/>
      <c r="X124" s="67"/>
      <c r="Y124" s="67"/>
      <c r="Z124" s="67"/>
    </row>
    <row r="125" spans="1:26" s="21" customFormat="1" ht="13.2">
      <c r="A125" s="20"/>
      <c r="C125" s="253" t="s">
        <v>1299</v>
      </c>
      <c r="D125" s="30"/>
      <c r="L125" s="24"/>
      <c r="N125" s="50"/>
      <c r="O125" s="22"/>
      <c r="U125" s="75"/>
      <c r="V125" s="89"/>
    </row>
    <row r="126" spans="1:26" s="21" customFormat="1" ht="10.8" thickBot="1">
      <c r="A126" s="20"/>
      <c r="C126" s="470" t="s">
        <v>776</v>
      </c>
      <c r="D126" s="30"/>
      <c r="N126" s="50"/>
      <c r="O126" s="22"/>
      <c r="P126" s="67"/>
      <c r="Q126" s="67"/>
      <c r="R126" s="67"/>
      <c r="S126" s="67"/>
      <c r="T126" s="67"/>
      <c r="U126" s="93"/>
      <c r="V126" s="94"/>
      <c r="W126" s="67"/>
      <c r="X126" s="67"/>
      <c r="Y126" s="67"/>
      <c r="Z126" s="67"/>
    </row>
    <row r="127" spans="1:26" s="21" customFormat="1" ht="13.2">
      <c r="A127" s="20"/>
      <c r="C127" s="253" t="s">
        <v>1336</v>
      </c>
      <c r="D127" s="30"/>
      <c r="N127" s="50"/>
      <c r="O127" s="22"/>
      <c r="U127" s="75"/>
      <c r="V127" s="78"/>
    </row>
    <row r="128" spans="1:26" s="21" customFormat="1" ht="13.8" thickBot="1">
      <c r="A128" s="20"/>
      <c r="C128" s="253" t="s">
        <v>1339</v>
      </c>
      <c r="D128" s="30"/>
      <c r="K128" s="99"/>
      <c r="N128" s="50"/>
      <c r="O128" s="22"/>
      <c r="U128" s="75"/>
      <c r="V128" s="78"/>
    </row>
    <row r="129" spans="1:26" s="21" customFormat="1">
      <c r="A129" s="20"/>
      <c r="C129" s="196"/>
      <c r="D129" s="30"/>
      <c r="N129" s="50"/>
      <c r="O129" s="22"/>
      <c r="U129" s="75"/>
      <c r="V129" s="78"/>
    </row>
    <row r="130" spans="1:26" s="21" customFormat="1" ht="13.2">
      <c r="A130" s="20"/>
      <c r="C130" s="253" t="s">
        <v>1369</v>
      </c>
      <c r="D130" s="30"/>
      <c r="N130" s="50"/>
      <c r="O130" s="22"/>
      <c r="U130" s="75"/>
      <c r="V130" s="84"/>
    </row>
    <row r="131" spans="1:26" s="21" customFormat="1" ht="13.2">
      <c r="A131" s="20"/>
      <c r="C131" s="253" t="s">
        <v>1425</v>
      </c>
      <c r="D131" s="30"/>
      <c r="N131" s="50"/>
      <c r="O131" s="22"/>
      <c r="P131" s="67"/>
      <c r="Q131" s="67"/>
      <c r="R131" s="67"/>
      <c r="S131" s="67"/>
      <c r="T131" s="67"/>
      <c r="U131" s="93"/>
      <c r="V131" s="101"/>
      <c r="W131" s="67"/>
      <c r="X131" s="67"/>
      <c r="Y131" s="67"/>
      <c r="Z131" s="67"/>
    </row>
    <row r="132" spans="1:26" s="21" customFormat="1" ht="13.2">
      <c r="A132" s="20"/>
      <c r="C132" s="253" t="s">
        <v>1311</v>
      </c>
      <c r="D132" s="30"/>
      <c r="N132" s="50"/>
      <c r="O132" s="22"/>
      <c r="U132" s="75"/>
      <c r="V132" s="84"/>
    </row>
    <row r="133" spans="1:26" s="21" customFormat="1" ht="13.2">
      <c r="A133" s="20"/>
      <c r="C133" s="253" t="s">
        <v>1381</v>
      </c>
      <c r="D133" s="30"/>
      <c r="N133" s="50"/>
      <c r="O133" s="22"/>
      <c r="U133" s="75"/>
      <c r="V133" s="84"/>
    </row>
    <row r="134" spans="1:26" s="21" customFormat="1" ht="13.2">
      <c r="A134" s="20"/>
      <c r="C134" s="253" t="s">
        <v>1320</v>
      </c>
      <c r="D134" s="30"/>
      <c r="N134" s="50"/>
      <c r="O134" s="22"/>
      <c r="U134" s="23"/>
    </row>
    <row r="135" spans="1:26" s="21" customFormat="1" ht="13.2">
      <c r="A135" s="20"/>
      <c r="C135" s="370" t="s">
        <v>1881</v>
      </c>
      <c r="D135" s="30"/>
      <c r="N135" s="50"/>
      <c r="O135" s="22"/>
      <c r="U135" s="88"/>
      <c r="V135" s="78"/>
    </row>
    <row r="136" spans="1:26" s="67" customFormat="1" ht="13.2">
      <c r="A136" s="20"/>
      <c r="B136" s="21"/>
      <c r="C136" s="253" t="s">
        <v>1419</v>
      </c>
      <c r="D136" s="30"/>
      <c r="E136" s="21"/>
      <c r="F136" s="21"/>
      <c r="G136" s="21"/>
      <c r="H136" s="21"/>
      <c r="I136" s="21"/>
      <c r="J136" s="21"/>
      <c r="K136" s="21"/>
      <c r="L136" s="21"/>
      <c r="M136" s="21"/>
      <c r="N136" s="50"/>
      <c r="O136" s="22"/>
      <c r="P136" s="21"/>
      <c r="Q136" s="21"/>
      <c r="R136" s="21"/>
      <c r="S136" s="21"/>
      <c r="T136" s="21"/>
      <c r="U136" s="75"/>
      <c r="V136" s="78"/>
      <c r="W136" s="21"/>
      <c r="X136" s="21"/>
      <c r="Y136" s="21"/>
      <c r="Z136" s="21"/>
    </row>
    <row r="137" spans="1:26" s="21" customFormat="1" ht="13.8" thickBot="1">
      <c r="A137" s="56"/>
      <c r="B137" s="57"/>
      <c r="C137" s="253" t="s">
        <v>1440</v>
      </c>
      <c r="D137" s="58"/>
      <c r="E137" s="57"/>
      <c r="F137" s="57"/>
      <c r="G137" s="57"/>
      <c r="H137" s="57"/>
      <c r="I137" s="57"/>
      <c r="J137" s="57"/>
      <c r="K137" s="57"/>
      <c r="L137" s="57"/>
      <c r="M137" s="57"/>
      <c r="N137" s="112"/>
      <c r="O137" s="59"/>
      <c r="U137" s="75"/>
      <c r="V137" s="78"/>
    </row>
    <row r="138" spans="1:26" s="21" customFormat="1" ht="13.2">
      <c r="C138" s="253" t="s">
        <v>1459</v>
      </c>
      <c r="D138" s="30"/>
      <c r="N138" s="50"/>
      <c r="O138" s="22"/>
      <c r="U138" s="75"/>
      <c r="V138" s="78"/>
    </row>
    <row r="139" spans="1:26" s="21" customFormat="1" ht="13.2">
      <c r="C139" s="294" t="s">
        <v>1667</v>
      </c>
      <c r="D139" s="30"/>
      <c r="N139" s="50"/>
      <c r="O139" s="22"/>
      <c r="U139" s="75"/>
      <c r="V139" s="78"/>
    </row>
    <row r="140" spans="1:26" s="21" customFormat="1" ht="13.2">
      <c r="C140" s="294" t="s">
        <v>1506</v>
      </c>
      <c r="D140" s="30"/>
      <c r="N140" s="50"/>
      <c r="O140" s="22"/>
      <c r="U140" s="75"/>
      <c r="V140" s="78"/>
    </row>
    <row r="141" spans="1:26" s="21" customFormat="1" ht="13.2">
      <c r="C141" s="294" t="s">
        <v>1484</v>
      </c>
      <c r="D141" s="30"/>
      <c r="N141" s="50"/>
      <c r="O141" s="22"/>
      <c r="U141" s="75"/>
      <c r="V141" s="78"/>
    </row>
    <row r="142" spans="1:26" s="21" customFormat="1" ht="13.2">
      <c r="C142" s="294" t="s">
        <v>1468</v>
      </c>
      <c r="D142" s="30"/>
      <c r="N142" s="60"/>
      <c r="O142" s="22"/>
      <c r="U142" s="75"/>
      <c r="V142" s="84"/>
      <c r="W142" s="78"/>
    </row>
    <row r="143" spans="1:26" s="21" customFormat="1" ht="13.2">
      <c r="A143" s="102"/>
      <c r="B143" s="102"/>
      <c r="C143" s="294" t="s">
        <v>1587</v>
      </c>
      <c r="D143" s="103"/>
      <c r="E143" s="102"/>
      <c r="F143" s="102"/>
      <c r="G143" s="102"/>
      <c r="H143" s="102"/>
      <c r="I143" s="102"/>
      <c r="J143" s="102"/>
      <c r="K143" s="102"/>
      <c r="L143" s="102"/>
      <c r="M143" s="102"/>
      <c r="N143" s="108"/>
      <c r="O143" s="104"/>
      <c r="U143" s="75"/>
      <c r="V143" s="78"/>
    </row>
    <row r="144" spans="1:26" s="21" customFormat="1" ht="13.8" thickBot="1">
      <c r="C144" s="471" t="s">
        <v>1499</v>
      </c>
      <c r="D144" s="30"/>
      <c r="N144" s="60"/>
      <c r="O144" s="22"/>
      <c r="U144" s="75"/>
      <c r="V144" s="78"/>
    </row>
    <row r="145" spans="1:26" s="21" customFormat="1" ht="13.2">
      <c r="C145" s="294" t="s">
        <v>1515</v>
      </c>
      <c r="D145" s="30"/>
      <c r="N145" s="60"/>
      <c r="O145" s="22"/>
      <c r="U145" s="75"/>
      <c r="V145" s="78"/>
    </row>
    <row r="146" spans="1:26" ht="13.2">
      <c r="A146" s="21"/>
      <c r="B146" s="21"/>
      <c r="C146" s="294" t="s">
        <v>1590</v>
      </c>
      <c r="D146" s="30"/>
      <c r="E146" s="21"/>
      <c r="F146" s="21"/>
      <c r="G146" s="21"/>
      <c r="H146" s="21"/>
      <c r="I146" s="21"/>
      <c r="J146" s="21"/>
      <c r="K146" s="21"/>
      <c r="L146" s="21"/>
      <c r="M146" s="21"/>
      <c r="N146" s="60"/>
      <c r="O146" s="22"/>
      <c r="P146" s="21"/>
      <c r="Q146" s="21"/>
      <c r="R146" s="21"/>
      <c r="S146" s="21"/>
      <c r="T146" s="21"/>
      <c r="U146" s="75"/>
      <c r="V146" s="78"/>
      <c r="W146" s="21"/>
      <c r="X146" s="21"/>
      <c r="Y146" s="21"/>
      <c r="Z146" s="21"/>
    </row>
    <row r="147" spans="1:26" ht="13.2">
      <c r="A147" s="21"/>
      <c r="B147" s="21"/>
      <c r="C147" s="306" t="s">
        <v>1615</v>
      </c>
      <c r="D147" s="30"/>
      <c r="E147" s="21"/>
      <c r="F147" s="21"/>
      <c r="G147" s="21"/>
      <c r="H147" s="21"/>
      <c r="I147" s="21"/>
      <c r="J147" s="21"/>
      <c r="K147" s="21"/>
      <c r="L147" s="21"/>
      <c r="M147" s="21"/>
      <c r="N147" s="60"/>
      <c r="O147" s="22"/>
      <c r="P147" s="21"/>
      <c r="Q147" s="21"/>
      <c r="R147" s="21"/>
      <c r="S147" s="21"/>
      <c r="T147" s="21"/>
      <c r="U147" s="75"/>
      <c r="V147" s="84"/>
      <c r="W147" s="78"/>
      <c r="X147" s="21"/>
      <c r="Y147" s="21"/>
      <c r="Z147" s="21"/>
    </row>
    <row r="148" spans="1:26" ht="13.2">
      <c r="A148" s="21"/>
      <c r="B148" s="21"/>
      <c r="C148" s="294" t="s">
        <v>1613</v>
      </c>
      <c r="D148" s="30"/>
      <c r="E148" s="21"/>
      <c r="F148" s="21"/>
      <c r="G148" s="21"/>
      <c r="H148" s="21"/>
      <c r="I148" s="21"/>
      <c r="J148" s="21"/>
      <c r="K148" s="21"/>
      <c r="L148" s="21"/>
      <c r="M148" s="21"/>
      <c r="N148" s="60"/>
      <c r="O148" s="22"/>
      <c r="P148" s="21"/>
      <c r="Q148" s="21"/>
      <c r="R148" s="21"/>
      <c r="S148" s="21"/>
      <c r="T148" s="21"/>
      <c r="U148" s="75"/>
      <c r="V148" s="78"/>
      <c r="W148" s="21"/>
      <c r="X148" s="21"/>
      <c r="Y148" s="21"/>
      <c r="Z148" s="21"/>
    </row>
    <row r="149" spans="1:26" ht="13.2">
      <c r="A149" s="21"/>
      <c r="B149" s="21"/>
      <c r="C149" s="264"/>
      <c r="D149" s="30"/>
      <c r="E149" s="21"/>
      <c r="F149" s="21"/>
      <c r="G149" s="21"/>
      <c r="H149" s="21"/>
      <c r="I149" s="21"/>
      <c r="J149" s="21"/>
      <c r="K149" s="21"/>
      <c r="L149" s="21"/>
      <c r="M149" s="21"/>
      <c r="N149" s="60"/>
      <c r="O149" s="22"/>
      <c r="U149" s="13"/>
    </row>
    <row r="150" spans="1:26" ht="13.2">
      <c r="A150" s="21"/>
      <c r="B150" s="21"/>
      <c r="C150" s="320"/>
      <c r="D150" s="30"/>
      <c r="E150" s="21"/>
      <c r="F150" s="21"/>
      <c r="G150" s="21"/>
      <c r="H150" s="21"/>
      <c r="I150" s="21"/>
      <c r="J150" s="21"/>
      <c r="K150" s="21"/>
      <c r="L150" s="21"/>
      <c r="M150" s="21"/>
      <c r="N150" s="60"/>
      <c r="O150" s="22"/>
      <c r="S150" s="11"/>
      <c r="U150" s="13"/>
    </row>
    <row r="151" spans="1:26" ht="13.2">
      <c r="A151" s="67"/>
      <c r="B151" s="67"/>
      <c r="C151" s="306"/>
      <c r="D151" s="68"/>
      <c r="E151" s="67"/>
      <c r="F151" s="67"/>
      <c r="G151" s="67"/>
      <c r="H151" s="67"/>
      <c r="I151" s="67"/>
      <c r="J151" s="67"/>
      <c r="K151" s="67"/>
      <c r="L151" s="67"/>
      <c r="M151" s="67"/>
      <c r="N151" s="110"/>
      <c r="O151" s="70"/>
      <c r="U151" s="13"/>
    </row>
    <row r="152" spans="1:26" ht="13.2">
      <c r="A152" s="21"/>
      <c r="B152" s="21"/>
      <c r="C152" s="294" t="s">
        <v>1639</v>
      </c>
      <c r="D152" s="30"/>
      <c r="E152" s="21"/>
      <c r="F152" s="21"/>
      <c r="G152" s="21"/>
      <c r="H152" s="21"/>
      <c r="I152" s="21"/>
      <c r="J152" s="21"/>
      <c r="K152" s="21"/>
      <c r="L152" s="21"/>
      <c r="M152" s="21"/>
      <c r="N152" s="60"/>
      <c r="O152" s="22"/>
      <c r="U152" s="13"/>
    </row>
    <row r="153" spans="1:26" ht="13.2">
      <c r="A153" s="21"/>
      <c r="B153" s="21"/>
      <c r="C153" s="294" t="s">
        <v>1652</v>
      </c>
      <c r="D153" s="30"/>
      <c r="E153" s="21"/>
      <c r="F153" s="21"/>
      <c r="G153" s="21"/>
      <c r="H153" s="21"/>
      <c r="I153" s="21"/>
      <c r="J153" s="21"/>
      <c r="K153" s="21"/>
      <c r="L153" s="21"/>
      <c r="M153" s="21"/>
      <c r="N153" s="60"/>
      <c r="O153" s="22"/>
      <c r="U153" s="13"/>
    </row>
    <row r="154" spans="1:26" ht="13.2">
      <c r="A154" s="21"/>
      <c r="B154" s="21"/>
      <c r="C154" s="294" t="s">
        <v>1735</v>
      </c>
      <c r="D154" s="30"/>
      <c r="E154" s="21"/>
      <c r="F154" s="21"/>
      <c r="G154" s="21"/>
      <c r="H154" s="21"/>
      <c r="I154" s="21"/>
      <c r="J154" s="21"/>
      <c r="K154" s="21"/>
      <c r="L154" s="21"/>
      <c r="M154" s="21"/>
      <c r="N154" s="60"/>
      <c r="O154" s="22"/>
      <c r="U154" s="13"/>
    </row>
    <row r="155" spans="1:26" ht="13.2">
      <c r="C155" s="294" t="s">
        <v>1761</v>
      </c>
      <c r="D155" s="33"/>
      <c r="N155" s="49"/>
      <c r="O155" s="12"/>
      <c r="U155" s="13"/>
    </row>
    <row r="156" spans="1:26" ht="13.2">
      <c r="C156" s="194" t="s">
        <v>1737</v>
      </c>
      <c r="D156" s="33"/>
      <c r="N156" s="49"/>
      <c r="O156" s="12"/>
      <c r="U156" s="13"/>
    </row>
    <row r="157" spans="1:26" ht="13.2">
      <c r="C157" s="294" t="s">
        <v>1649</v>
      </c>
      <c r="D157" s="33"/>
      <c r="N157" s="49"/>
      <c r="O157" s="12"/>
      <c r="U157" s="13"/>
    </row>
    <row r="158" spans="1:26" ht="13.2">
      <c r="C158" s="294" t="s">
        <v>1751</v>
      </c>
      <c r="D158" s="33"/>
      <c r="N158" s="49"/>
      <c r="O158" s="12"/>
      <c r="U158" s="13"/>
    </row>
    <row r="159" spans="1:26" ht="13.2">
      <c r="C159" s="294" t="s">
        <v>1676</v>
      </c>
      <c r="D159" s="33"/>
      <c r="N159" s="49"/>
      <c r="O159" s="12"/>
      <c r="U159" s="13"/>
    </row>
    <row r="160" spans="1:26" ht="13.2">
      <c r="C160" s="294" t="s">
        <v>1690</v>
      </c>
      <c r="N160" s="49"/>
      <c r="O160" s="7"/>
      <c r="U160" s="13"/>
    </row>
    <row r="161" spans="1:26" ht="13.2">
      <c r="C161" s="294" t="s">
        <v>1712</v>
      </c>
      <c r="N161" s="49"/>
      <c r="U161" s="13"/>
    </row>
    <row r="162" spans="1:26" ht="13.2">
      <c r="C162" s="294" t="s">
        <v>1758</v>
      </c>
      <c r="N162" s="49"/>
      <c r="O162" s="7"/>
      <c r="U162" s="13"/>
    </row>
    <row r="163" spans="1:26" ht="13.2">
      <c r="C163" s="343" t="s">
        <v>1701</v>
      </c>
      <c r="N163" s="49"/>
      <c r="O163" s="7"/>
      <c r="U163" s="13"/>
    </row>
    <row r="164" spans="1:26" ht="13.2">
      <c r="A164" s="21"/>
      <c r="B164" s="21"/>
      <c r="C164" s="344" t="s">
        <v>1566</v>
      </c>
      <c r="D164" s="30"/>
      <c r="E164" s="21"/>
      <c r="F164" s="21"/>
      <c r="G164" s="21"/>
      <c r="H164" s="21"/>
      <c r="I164" s="21"/>
      <c r="J164" s="21"/>
      <c r="K164" s="21"/>
      <c r="L164" s="21"/>
      <c r="M164" s="21"/>
      <c r="N164" s="51"/>
      <c r="O164" s="22"/>
      <c r="U164" s="13"/>
    </row>
    <row r="165" spans="1:26" ht="21">
      <c r="A165" s="20"/>
      <c r="B165" s="21"/>
      <c r="C165" s="294" t="s">
        <v>1719</v>
      </c>
      <c r="D165" s="30"/>
      <c r="E165" s="21"/>
      <c r="F165" s="21"/>
      <c r="G165" s="21"/>
      <c r="H165" s="21"/>
      <c r="I165" s="21"/>
      <c r="J165" s="21"/>
      <c r="K165" s="21"/>
      <c r="L165" s="21"/>
      <c r="M165" s="35"/>
      <c r="N165" s="50"/>
      <c r="O165" s="22"/>
      <c r="P165" s="21"/>
      <c r="Q165" s="21"/>
      <c r="R165" s="21"/>
      <c r="S165" s="21"/>
      <c r="T165" s="21"/>
      <c r="U165" s="23"/>
      <c r="V165" s="21"/>
      <c r="W165" s="21"/>
      <c r="X165" s="21"/>
      <c r="Y165" s="21"/>
      <c r="Z165" s="21"/>
    </row>
    <row r="166" spans="1:26" ht="13.2">
      <c r="A166" s="20"/>
      <c r="B166" s="21"/>
      <c r="C166" s="294"/>
      <c r="D166" s="30"/>
      <c r="E166" s="21"/>
      <c r="F166" s="21"/>
      <c r="G166" s="21"/>
      <c r="H166" s="21"/>
      <c r="I166" s="21"/>
      <c r="J166" s="21"/>
      <c r="K166" s="21"/>
      <c r="L166" s="21"/>
      <c r="M166" s="21"/>
      <c r="N166" s="50"/>
      <c r="O166" s="22"/>
      <c r="P166" s="21"/>
      <c r="Q166" s="21"/>
      <c r="R166" s="21"/>
      <c r="S166" s="21"/>
      <c r="T166" s="21"/>
      <c r="U166" s="75"/>
      <c r="V166" s="21"/>
      <c r="W166" s="21"/>
      <c r="X166" s="21"/>
      <c r="Y166" s="21"/>
      <c r="Z166" s="21"/>
    </row>
    <row r="167" spans="1:26" ht="13.2">
      <c r="A167" s="20"/>
      <c r="B167" s="21"/>
      <c r="C167" s="294" t="s">
        <v>1777</v>
      </c>
      <c r="D167" s="30"/>
      <c r="E167" s="21"/>
      <c r="F167" s="21"/>
      <c r="G167" s="21"/>
      <c r="H167" s="21"/>
      <c r="I167" s="21"/>
      <c r="J167" s="21"/>
      <c r="K167" s="21"/>
      <c r="L167" s="21"/>
      <c r="M167" s="21"/>
      <c r="N167" s="50"/>
      <c r="O167" s="22"/>
      <c r="P167" s="21"/>
      <c r="Q167" s="21"/>
      <c r="R167" s="21"/>
      <c r="S167" s="21"/>
      <c r="T167" s="21"/>
      <c r="U167" s="75"/>
      <c r="V167" s="78"/>
      <c r="W167" s="21"/>
      <c r="X167" s="21"/>
      <c r="Y167" s="21"/>
      <c r="Z167" s="21"/>
    </row>
    <row r="168" spans="1:26" ht="13.2">
      <c r="A168" s="20"/>
      <c r="B168" s="21"/>
      <c r="C168" s="294" t="s">
        <v>1785</v>
      </c>
      <c r="D168" s="30"/>
      <c r="E168" s="21"/>
      <c r="F168" s="21"/>
      <c r="G168" s="21"/>
      <c r="H168" s="21"/>
      <c r="I168" s="21"/>
      <c r="J168" s="21"/>
      <c r="K168" s="21"/>
      <c r="L168" s="21"/>
      <c r="M168" s="21"/>
      <c r="N168" s="60"/>
      <c r="O168" s="22"/>
      <c r="P168" s="21"/>
      <c r="Q168" s="21"/>
      <c r="R168" s="21"/>
      <c r="S168" s="21"/>
      <c r="T168" s="21"/>
      <c r="U168" s="75"/>
      <c r="V168" s="78"/>
      <c r="W168" s="21"/>
      <c r="X168" s="21"/>
      <c r="Y168" s="21"/>
      <c r="Z168" s="21"/>
    </row>
    <row r="169" spans="1:26" ht="13.2">
      <c r="A169" s="20"/>
      <c r="B169" s="21"/>
      <c r="C169" s="294" t="s">
        <v>1764</v>
      </c>
      <c r="D169" s="30"/>
      <c r="E169" s="21"/>
      <c r="F169" s="21"/>
      <c r="G169" s="21"/>
      <c r="H169" s="21"/>
      <c r="I169" s="21"/>
      <c r="J169" s="21"/>
      <c r="K169" s="21"/>
      <c r="L169" s="21"/>
      <c r="M169" s="21"/>
      <c r="N169" s="109"/>
      <c r="O169" s="22"/>
      <c r="P169" s="21"/>
      <c r="Q169" s="21"/>
      <c r="R169" s="21"/>
      <c r="S169" s="21"/>
      <c r="T169" s="21"/>
      <c r="U169" s="75"/>
      <c r="V169" s="78"/>
      <c r="W169" s="21"/>
      <c r="X169" s="21"/>
      <c r="Y169" s="21"/>
      <c r="Z169" s="21"/>
    </row>
    <row r="170" spans="1:26" ht="13.2">
      <c r="A170" s="20"/>
      <c r="B170" s="21"/>
      <c r="C170" s="294" t="s">
        <v>1791</v>
      </c>
      <c r="D170" s="30"/>
      <c r="E170" s="21"/>
      <c r="F170" s="21"/>
      <c r="G170" s="21"/>
      <c r="H170" s="21"/>
      <c r="I170" s="21"/>
      <c r="J170" s="21"/>
      <c r="K170" s="21"/>
      <c r="L170" s="21"/>
      <c r="M170" s="21"/>
      <c r="N170" s="109"/>
      <c r="O170" s="22"/>
      <c r="P170" s="21"/>
      <c r="Q170" s="21"/>
      <c r="R170" s="21"/>
      <c r="S170" s="21"/>
      <c r="T170" s="21"/>
      <c r="U170" s="75"/>
      <c r="V170" s="78"/>
      <c r="W170" s="21"/>
      <c r="X170" s="21"/>
      <c r="Y170" s="21"/>
      <c r="Z170" s="21"/>
    </row>
    <row r="171" spans="1:26">
      <c r="A171" s="10"/>
      <c r="C171" s="128" t="s">
        <v>1831</v>
      </c>
      <c r="D171" s="34"/>
      <c r="K171" s="15"/>
      <c r="N171" s="49"/>
      <c r="O171" s="14"/>
      <c r="U171" s="13"/>
    </row>
    <row r="172" spans="1:26">
      <c r="A172" s="10"/>
      <c r="C172" s="128" t="s">
        <v>1848</v>
      </c>
      <c r="D172" s="33"/>
      <c r="N172" s="49"/>
      <c r="O172" s="12"/>
      <c r="U172" s="13"/>
    </row>
    <row r="173" spans="1:26">
      <c r="C173" s="128" t="s">
        <v>1857</v>
      </c>
    </row>
    <row r="174" spans="1:26" ht="13.2">
      <c r="C174" s="121" t="s">
        <v>1865</v>
      </c>
    </row>
    <row r="175" spans="1:26">
      <c r="C175" s="128" t="s">
        <v>1798</v>
      </c>
    </row>
    <row r="176" spans="1:26">
      <c r="C176" s="363" t="s">
        <v>1806</v>
      </c>
    </row>
    <row r="177" spans="1:14">
      <c r="C177" s="365" t="s">
        <v>1898</v>
      </c>
    </row>
    <row r="178" spans="1:14">
      <c r="C178" s="128" t="s">
        <v>1878</v>
      </c>
    </row>
    <row r="179" spans="1:14">
      <c r="A179" s="7"/>
      <c r="B179" s="7"/>
      <c r="C179" s="365" t="s">
        <v>1652</v>
      </c>
      <c r="D179" s="29"/>
      <c r="E179" s="7"/>
      <c r="F179" s="7"/>
      <c r="G179" s="7"/>
      <c r="H179" s="7"/>
      <c r="I179" s="7"/>
      <c r="J179" s="7"/>
      <c r="K179" s="7"/>
      <c r="L179" s="7"/>
      <c r="M179" s="7"/>
      <c r="N179" s="7"/>
    </row>
    <row r="180" spans="1:14">
      <c r="C180" s="128" t="s">
        <v>1020</v>
      </c>
      <c r="N180" s="49"/>
    </row>
    <row r="181" spans="1:14">
      <c r="C181" s="365" t="s">
        <v>1872</v>
      </c>
      <c r="N181" s="49"/>
    </row>
    <row r="182" spans="1:14" ht="13.2">
      <c r="C182" s="401" t="s">
        <v>1967</v>
      </c>
      <c r="D182" s="8"/>
      <c r="N182" s="49"/>
    </row>
    <row r="183" spans="1:14" ht="13.2">
      <c r="C183" s="388" t="s">
        <v>1840</v>
      </c>
      <c r="D183" s="8"/>
      <c r="N183" s="49"/>
    </row>
    <row r="184" spans="1:14" ht="13.2">
      <c r="C184" s="413" t="s">
        <v>1930</v>
      </c>
      <c r="D184" s="8"/>
      <c r="N184" s="49"/>
    </row>
    <row r="185" spans="1:14" ht="13.2">
      <c r="C185" s="375" t="s">
        <v>1791</v>
      </c>
      <c r="D185" s="8"/>
      <c r="N185" s="49"/>
    </row>
    <row r="186" spans="1:14" ht="13.2">
      <c r="C186" s="443" t="s">
        <v>2249</v>
      </c>
      <c r="D186" s="8"/>
      <c r="N186" s="49"/>
    </row>
    <row r="187" spans="1:14">
      <c r="C187" s="156" t="s">
        <v>270</v>
      </c>
      <c r="D187" s="8"/>
      <c r="N187" s="49"/>
    </row>
    <row r="188" spans="1:14">
      <c r="C188" s="156" t="s">
        <v>197</v>
      </c>
      <c r="D188" s="8"/>
      <c r="N188" s="49"/>
    </row>
    <row r="189" spans="1:14">
      <c r="C189" s="156" t="s">
        <v>333</v>
      </c>
      <c r="D189" s="8"/>
      <c r="N189" s="49"/>
    </row>
    <row r="190" spans="1:14">
      <c r="C190" s="156" t="s">
        <v>183</v>
      </c>
      <c r="D190" s="8"/>
      <c r="N190" s="49"/>
    </row>
    <row r="191" spans="1:14">
      <c r="C191" s="156" t="s">
        <v>259</v>
      </c>
      <c r="D191" s="8"/>
      <c r="N191" s="49"/>
    </row>
    <row r="192" spans="1:14">
      <c r="C192" s="156" t="s">
        <v>237</v>
      </c>
      <c r="D192" s="8"/>
      <c r="N192" s="49"/>
    </row>
    <row r="193" spans="3:14">
      <c r="C193" s="156" t="s">
        <v>310</v>
      </c>
      <c r="D193" s="8"/>
      <c r="N193" s="49"/>
    </row>
    <row r="194" spans="3:14">
      <c r="C194" s="156" t="s">
        <v>293</v>
      </c>
      <c r="D194" s="8"/>
      <c r="N194" s="49"/>
    </row>
    <row r="195" spans="3:14">
      <c r="C195" s="156" t="s">
        <v>286</v>
      </c>
      <c r="D195" s="8"/>
      <c r="N195" s="49"/>
    </row>
    <row r="196" spans="3:14">
      <c r="C196" s="8"/>
      <c r="D196" s="8"/>
      <c r="N196" s="49"/>
    </row>
    <row r="197" spans="3:14">
      <c r="C197" s="8"/>
      <c r="D197" s="8"/>
      <c r="N197" s="49"/>
    </row>
    <row r="198" spans="3:14">
      <c r="C198" s="8"/>
      <c r="D198" s="8"/>
      <c r="N198" s="49"/>
    </row>
    <row r="199" spans="3:14">
      <c r="C199" s="8"/>
      <c r="D199" s="8"/>
      <c r="N199" s="49"/>
    </row>
    <row r="200" spans="3:14">
      <c r="C200" s="8"/>
      <c r="D200" s="8"/>
      <c r="N200" s="49"/>
    </row>
    <row r="201" spans="3:14">
      <c r="C201" s="8"/>
      <c r="D201" s="8"/>
      <c r="N201" s="49"/>
    </row>
    <row r="202" spans="3:14">
      <c r="C202" s="8"/>
      <c r="D202" s="8"/>
      <c r="N202" s="49"/>
    </row>
    <row r="203" spans="3:14">
      <c r="C203" s="8"/>
      <c r="D203" s="8"/>
      <c r="N203" s="49"/>
    </row>
    <row r="204" spans="3:14">
      <c r="C204" s="8"/>
      <c r="D204" s="8"/>
      <c r="N204" s="49"/>
    </row>
    <row r="205" spans="3:14">
      <c r="C205" s="8"/>
      <c r="D205" s="8"/>
      <c r="N205" s="49"/>
    </row>
  </sheetData>
  <sortState xmlns:xlrd2="http://schemas.microsoft.com/office/spreadsheetml/2017/richdata2" ref="A2:Z456">
    <sortCondition ref="J2:J456"/>
  </sortState>
  <hyperlinks>
    <hyperlink ref="C73" r:id="rId1" xr:uid="{85F9CAC5-C2F8-4DFA-8582-AD2D777C9124}"/>
    <hyperlink ref="C76" r:id="rId2" xr:uid="{26AC6BCC-86F6-496F-BE3F-D1025E9FE75A}"/>
    <hyperlink ref="C75" r:id="rId3" xr:uid="{C58827A4-16A1-4BED-80EB-3FE51C23E2C8}"/>
    <hyperlink ref="C72" r:id="rId4" xr:uid="{DBA1D7AF-72B9-4471-B185-E990F4CECF0A}"/>
    <hyperlink ref="C78" r:id="rId5" xr:uid="{B0D04123-AE8F-4463-8445-DE48BBC72C6B}"/>
    <hyperlink ref="C77" r:id="rId6" xr:uid="{78DC2680-147C-4F00-B1F3-D297550BE642}"/>
    <hyperlink ref="C80" r:id="rId7" xr:uid="{3409D0D7-1691-424C-87AD-D4910AC65A29}"/>
    <hyperlink ref="C81" r:id="rId8" xr:uid="{27E145AA-2C68-451A-9475-9F49D2DEC6D3}"/>
    <hyperlink ref="C82" r:id="rId9" xr:uid="{088DC2D1-07D7-4FE2-8A47-798706E663A1}"/>
    <hyperlink ref="C83" r:id="rId10" xr:uid="{2708CEA0-A4D8-45F7-A0AC-70DA2C8955D4}"/>
    <hyperlink ref="C90" r:id="rId11" xr:uid="{246E6462-CF78-4CEF-B14D-F3098A135CB3}"/>
    <hyperlink ref="C87" r:id="rId12" xr:uid="{9130473A-0A55-4B2C-B6B9-6C6CD73CB2F6}"/>
    <hyperlink ref="C91" r:id="rId13" xr:uid="{42EA99B2-3BC6-420B-BBEC-5435FDBEB201}"/>
    <hyperlink ref="C84" r:id="rId14" xr:uid="{CE8FE0CC-074F-4D6C-87D4-2888BB45ED72}"/>
    <hyperlink ref="C85" r:id="rId15" xr:uid="{4C9DE34F-133B-475A-8492-A945ADD53526}"/>
    <hyperlink ref="C92" r:id="rId16" xr:uid="{B873BF9F-C2A3-4C19-8AC0-A593A79669DA}"/>
    <hyperlink ref="C100" r:id="rId17" xr:uid="{11106BE9-8F3E-4CE5-854B-1786C9220C7E}"/>
    <hyperlink ref="C94" r:id="rId18" xr:uid="{9B0D8CB0-FB57-42A7-B8B4-0F7B40FB9A10}"/>
    <hyperlink ref="C97" r:id="rId19" xr:uid="{E6A81A66-522E-474D-A69E-7987E2966F72}"/>
    <hyperlink ref="C103" r:id="rId20" xr:uid="{7A34F22D-F04C-476C-B72F-C3C44E66F32B}"/>
    <hyperlink ref="C98" r:id="rId21" xr:uid="{C8872B93-78A1-4A74-89B9-842F6818C9BA}"/>
    <hyperlink ref="C104" r:id="rId22" xr:uid="{9E922E9C-C286-4D65-A912-2D58DB9278C1}"/>
    <hyperlink ref="C105" r:id="rId23" xr:uid="{8E6C9530-15AC-4D96-AEF2-E4A5E8735D09}"/>
    <hyperlink ref="C113" r:id="rId24" xr:uid="{37CFCED6-D2E0-4679-9C22-70650660836E}"/>
    <hyperlink ref="C108" r:id="rId25" xr:uid="{E22E4B32-4F26-4300-8C18-3F7F3FD217B9}"/>
    <hyperlink ref="C107" r:id="rId26" xr:uid="{7EDB0C28-7DF4-4B40-9AA3-6A340294A3A1}"/>
    <hyperlink ref="C109" r:id="rId27" xr:uid="{505134CD-BDDC-47F3-94D6-54331C4BEB8E}"/>
    <hyperlink ref="C110" r:id="rId28" tooltip="blocked::mailto:praestk@aol.com" display="mailto:praestk@aol.com" xr:uid="{83C0425E-AF39-49DD-B9E6-E13DEC0F08D3}"/>
    <hyperlink ref="C116" r:id="rId29" xr:uid="{79C54950-BD1B-41CF-99A7-9582F4404034}"/>
    <hyperlink ref="C112" r:id="rId30" xr:uid="{BE727B9B-4F83-4D02-B926-2EE0BE25EBB5}"/>
    <hyperlink ref="C126" r:id="rId31" xr:uid="{2AEC9AEA-13A1-40E1-8F38-E664AA2E35F1}"/>
    <hyperlink ref="C114" r:id="rId32" xr:uid="{6BE6D3E0-20B6-4B98-8FFB-91F0E4C432A7}"/>
    <hyperlink ref="C117" r:id="rId33" xr:uid="{CF957336-12DE-487F-9487-98BCB19EF1B1}"/>
    <hyperlink ref="C123" r:id="rId34" xr:uid="{92869458-3F4C-49DC-96F0-BB669AFD52D2}"/>
    <hyperlink ref="C120" r:id="rId35" xr:uid="{0066DDB5-9788-4D75-ABCA-F643D8C46975}"/>
    <hyperlink ref="C118" r:id="rId36" xr:uid="{52DE37E2-23D7-4591-ACAD-174E7639248E}"/>
    <hyperlink ref="C122" r:id="rId37" xr:uid="{BB2FF699-1C58-4ED2-88BE-B23025235A8F}"/>
    <hyperlink ref="C124" r:id="rId38" xr:uid="{574D0345-BBC4-4C31-951A-20FE5E9D7113}"/>
    <hyperlink ref="C121" r:id="rId39" xr:uid="{7CBDEAAE-3D97-494A-8C3C-D37E04D7C30E}"/>
    <hyperlink ref="C132" r:id="rId40" xr:uid="{10EAECC7-6513-426E-8975-987DA408FC50}"/>
    <hyperlink ref="C134" r:id="rId41" xr:uid="{B69C8F03-3F4F-4171-B6C6-A60922332311}"/>
    <hyperlink ref="C135" r:id="rId42" xr:uid="{2A64EB5C-5D95-4326-862D-636ECFB54120}"/>
    <hyperlink ref="C125" r:id="rId43" xr:uid="{925375F8-0373-4F2B-A3D5-D467B1C48FA2}"/>
    <hyperlink ref="C127" r:id="rId44" xr:uid="{58D6966E-D6E3-46B4-971F-263A9A66992C}"/>
    <hyperlink ref="C128" r:id="rId45" xr:uid="{781F3857-0F07-4608-9AD3-D9D977A7AA91}"/>
    <hyperlink ref="C130" r:id="rId46" xr:uid="{C99CB23E-2D75-46E1-BE66-4C20184E0A27}"/>
    <hyperlink ref="C133" r:id="rId47" xr:uid="{BE81B447-7036-4C84-A478-D5637D8E678F}"/>
    <hyperlink ref="C136" r:id="rId48" xr:uid="{A7A5A6F1-C822-48AB-9BEA-0E015F663ED8}"/>
    <hyperlink ref="C131" r:id="rId49" xr:uid="{3FF31AE0-AAE6-43E2-A2C6-8E0F986886E9}"/>
    <hyperlink ref="C137" r:id="rId50" xr:uid="{2FEC31ED-F532-49A8-B3B1-7102B2AFA45E}"/>
    <hyperlink ref="C138" r:id="rId51" xr:uid="{5A0FB88D-BB01-4219-B3F7-10819121F62F}"/>
    <hyperlink ref="C142" r:id="rId52" xr:uid="{D2EF4A96-CCFE-4B25-AF02-C8366D87B475}"/>
    <hyperlink ref="C141" r:id="rId53" xr:uid="{65558D9D-FA36-4331-88BC-DE5D92298BF1}"/>
    <hyperlink ref="C140" r:id="rId54" xr:uid="{F71CC4B6-AA70-4B1B-96C0-1FF4E4E6EFF4}"/>
    <hyperlink ref="C145" r:id="rId55" xr:uid="{D2F95C90-2A9C-4EEE-9D9E-5F0F4A7E64FE}"/>
    <hyperlink ref="C193" r:id="rId56" xr:uid="{24C8FB34-80F0-481C-B216-2D2B12B13151}"/>
    <hyperlink ref="C195" r:id="rId57" xr:uid="{F140F810-D1D6-4225-AA81-504C078A4011}"/>
    <hyperlink ref="C194" r:id="rId58" xr:uid="{9F072336-E9B0-4E15-B5E9-0EFA4C21C53D}"/>
    <hyperlink ref="C191" r:id="rId59" xr:uid="{80520BCB-34B4-45F2-891F-2A69A8D90C31}"/>
    <hyperlink ref="C192" r:id="rId60" xr:uid="{C4B42A33-D962-45D6-A98A-46F92824F7B9}"/>
    <hyperlink ref="C143" r:id="rId61" xr:uid="{8DCE6842-9156-4942-A176-C148CFE4E860}"/>
    <hyperlink ref="C147" r:id="rId62" xr:uid="{548F43F9-DBF9-4BC1-B416-1317F29BA28A}"/>
    <hyperlink ref="C164" r:id="rId63" display="mailto:sandra@rudelwohl-zach.de" xr:uid="{A48DBC3D-FF84-4926-B553-AB41EFD2076F}"/>
    <hyperlink ref="C148" r:id="rId64" xr:uid="{1CACB3EC-8162-4BCD-B1EF-B557F4AD9448}"/>
    <hyperlink ref="C152" r:id="rId65" xr:uid="{BEE632DD-9557-493A-BAE0-6E4E9740736B}"/>
    <hyperlink ref="C157" r:id="rId66" xr:uid="{D54F37EE-796B-4B1C-8AE3-D8B7DD3F3E96}"/>
    <hyperlink ref="C153" r:id="rId67" xr:uid="{9A5DE973-B2F1-4F82-BB06-95FE89121B9B}"/>
    <hyperlink ref="C155" r:id="rId68" xr:uid="{33086697-4B8A-422F-BA61-040F8054A3F7}"/>
    <hyperlink ref="C139" r:id="rId69" xr:uid="{AAC50EC9-E6BB-4A5E-AFA1-0B3CAD258814}"/>
    <hyperlink ref="C159" r:id="rId70" xr:uid="{F2CD0DCE-0830-4AF1-B958-1C3DE6205DC6}"/>
    <hyperlink ref="C163" r:id="rId71" display="mailto:gmmanzi@aol.com" xr:uid="{F033E966-E7DD-44DB-8814-020BC2AC4FF2}"/>
    <hyperlink ref="C161" r:id="rId72" xr:uid="{23D1D39E-E14F-4B74-ADCA-3A99FDADE279}"/>
    <hyperlink ref="C154" r:id="rId73" xr:uid="{3679AB66-68F3-426D-8AAB-63ADE3C99457}"/>
    <hyperlink ref="C158" r:id="rId74" xr:uid="{5F9D3BF6-99B1-4B30-BB4B-536471D119BE}"/>
    <hyperlink ref="C162" r:id="rId75" xr:uid="{FCD2518A-02CE-4E5F-A547-B39CA1192349}"/>
    <hyperlink ref="C169" r:id="rId76" display="mailto:michael.boller@hartmann-werkzeugmarkt.de" xr:uid="{C775F48B-E3D7-437E-A455-4D9E99CAC113}"/>
    <hyperlink ref="C167" r:id="rId77" xr:uid="{659EC81D-02EA-4DFD-9909-BF535189D7EB}"/>
    <hyperlink ref="C168" r:id="rId78" xr:uid="{40339CAE-CEA2-4959-82E7-93A0C2F3DDF6}"/>
    <hyperlink ref="C170" r:id="rId79" xr:uid="{8D060CBD-7E6F-467F-AED4-F24C55EDF6AF}"/>
    <hyperlink ref="C165" r:id="rId80" xr:uid="{FC735014-369C-4652-9738-18E8A414191B}"/>
    <hyperlink ref="C175" r:id="rId81" xr:uid="{735D6234-19EB-403B-B7C9-E18C61AEFC61}"/>
    <hyperlink ref="C176" r:id="rId82" xr:uid="{F7E50104-2B9A-4347-8167-1732DD09EBEF}"/>
    <hyperlink ref="C180" r:id="rId83" xr:uid="{8C957D71-81F9-4BF1-9CAB-2A78EE9BBE58}"/>
    <hyperlink ref="C183" r:id="rId84" xr:uid="{052B2A6A-3665-4FC1-BEF5-E983812F782C}"/>
    <hyperlink ref="C172" r:id="rId85" xr:uid="{308CB17D-8DE5-4D5D-8784-9C8E5F4227FF}"/>
    <hyperlink ref="C171" r:id="rId86" xr:uid="{30B8DDCC-67DC-42B9-8E61-8A18A64E808A}"/>
    <hyperlink ref="C179" r:id="rId87" xr:uid="{CE71B3D9-78BF-4020-976B-DEFFE4F38A47}"/>
    <hyperlink ref="C174" r:id="rId88" xr:uid="{DFD27945-5EC4-46FF-8A3D-C58C7CA088DA}"/>
    <hyperlink ref="C181" r:id="rId89" xr:uid="{8E941160-41A8-4A23-9D61-A56DE2FFA8A4}"/>
    <hyperlink ref="C178" r:id="rId90" xr:uid="{34E6B37E-AE73-40C3-9EB9-2F5134C5216D}"/>
    <hyperlink ref="C177" r:id="rId91" xr:uid="{05706825-C73F-49CE-B510-D4184A5718B2}"/>
    <hyperlink ref="C185" r:id="rId92" xr:uid="{38EC3AEE-D727-49F6-99F7-08305DEA987E}"/>
    <hyperlink ref="C184" r:id="rId93" xr:uid="{DB6D4756-2025-4470-B852-4B9497911D4D}"/>
    <hyperlink ref="C182" r:id="rId94" xr:uid="{DAF2D797-0DDE-480D-BC62-FC79868E8152}"/>
    <hyperlink ref="C190" r:id="rId95" xr:uid="{85E524D5-9C03-4D75-8255-71A41C775353}"/>
    <hyperlink ref="C188" r:id="rId96" xr:uid="{1BEAD304-B8D6-4127-9C7B-C759E2231E42}"/>
    <hyperlink ref="C189" r:id="rId97" xr:uid="{B9AABF9D-A0EC-401E-96E0-11A1EA6BC787}"/>
    <hyperlink ref="C186" r:id="rId98" xr:uid="{4FBC88F4-FDE6-418E-847A-AD1A566E3EAC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9001B-9945-43F0-93C2-F733D927B7EB}">
  <dimension ref="A1:C305"/>
  <sheetViews>
    <sheetView topLeftCell="A50" workbookViewId="0">
      <selection activeCell="I50" sqref="I50"/>
    </sheetView>
  </sheetViews>
  <sheetFormatPr baseColWidth="10" defaultRowHeight="13.2"/>
  <cols>
    <col min="1" max="1" width="30.21875" bestFit="1" customWidth="1"/>
  </cols>
  <sheetData>
    <row r="1" spans="1:3">
      <c r="A1" s="371" t="s">
        <v>2074</v>
      </c>
      <c r="C1" s="371" t="s">
        <v>2137</v>
      </c>
    </row>
    <row r="2" spans="1:3">
      <c r="A2" s="2" t="s">
        <v>2028</v>
      </c>
      <c r="C2" s="2" t="s">
        <v>2075</v>
      </c>
    </row>
    <row r="3" spans="1:3">
      <c r="A3" s="2" t="s">
        <v>2029</v>
      </c>
      <c r="C3" s="2" t="s">
        <v>2076</v>
      </c>
    </row>
    <row r="4" spans="1:3">
      <c r="A4" s="2" t="s">
        <v>2030</v>
      </c>
      <c r="C4" s="2" t="s">
        <v>2077</v>
      </c>
    </row>
    <row r="5" spans="1:3">
      <c r="A5" t="s">
        <v>2031</v>
      </c>
      <c r="C5" s="2" t="s">
        <v>2078</v>
      </c>
    </row>
    <row r="6" spans="1:3">
      <c r="A6" s="2" t="s">
        <v>2032</v>
      </c>
      <c r="C6" s="2" t="s">
        <v>2079</v>
      </c>
    </row>
    <row r="7" spans="1:3">
      <c r="A7" s="2" t="s">
        <v>2033</v>
      </c>
      <c r="C7" s="2" t="s">
        <v>2080</v>
      </c>
    </row>
    <row r="8" spans="1:3">
      <c r="A8" s="2" t="s">
        <v>2034</v>
      </c>
      <c r="C8" s="2" t="s">
        <v>2081</v>
      </c>
    </row>
    <row r="9" spans="1:3">
      <c r="A9" s="2" t="s">
        <v>2035</v>
      </c>
      <c r="C9" s="2" t="s">
        <v>2082</v>
      </c>
    </row>
    <row r="10" spans="1:3">
      <c r="A10" s="2" t="s">
        <v>2036</v>
      </c>
      <c r="C10" s="2" t="s">
        <v>2083</v>
      </c>
    </row>
    <row r="11" spans="1:3">
      <c r="A11" s="2" t="s">
        <v>2037</v>
      </c>
      <c r="C11" s="2" t="s">
        <v>2084</v>
      </c>
    </row>
    <row r="12" spans="1:3">
      <c r="A12" s="2" t="s">
        <v>2038</v>
      </c>
      <c r="C12" s="2" t="s">
        <v>2085</v>
      </c>
    </row>
    <row r="13" spans="1:3">
      <c r="A13" s="2" t="s">
        <v>2039</v>
      </c>
      <c r="C13" s="2" t="s">
        <v>2086</v>
      </c>
    </row>
    <row r="14" spans="1:3">
      <c r="A14" s="2" t="s">
        <v>2040</v>
      </c>
      <c r="C14" s="2" t="s">
        <v>2087</v>
      </c>
    </row>
    <row r="15" spans="1:3">
      <c r="A15" s="2" t="s">
        <v>2041</v>
      </c>
      <c r="C15" s="2" t="s">
        <v>2088</v>
      </c>
    </row>
    <row r="16" spans="1:3">
      <c r="A16" s="2" t="s">
        <v>2042</v>
      </c>
      <c r="C16" s="2" t="s">
        <v>1967</v>
      </c>
    </row>
    <row r="17" spans="1:3">
      <c r="A17" s="2" t="s">
        <v>2043</v>
      </c>
      <c r="C17" s="2" t="s">
        <v>2089</v>
      </c>
    </row>
    <row r="18" spans="1:3">
      <c r="A18" s="2" t="s">
        <v>2044</v>
      </c>
      <c r="C18" s="2" t="s">
        <v>2090</v>
      </c>
    </row>
    <row r="19" spans="1:3">
      <c r="A19" s="2" t="s">
        <v>2045</v>
      </c>
      <c r="C19" s="2" t="s">
        <v>2091</v>
      </c>
    </row>
    <row r="20" spans="1:3">
      <c r="A20" s="2" t="s">
        <v>2046</v>
      </c>
      <c r="C20" s="2" t="s">
        <v>2092</v>
      </c>
    </row>
    <row r="21" spans="1:3">
      <c r="A21" s="2" t="s">
        <v>2047</v>
      </c>
      <c r="C21" s="2" t="s">
        <v>2093</v>
      </c>
    </row>
    <row r="22" spans="1:3">
      <c r="A22" s="2" t="s">
        <v>2046</v>
      </c>
      <c r="C22" s="2" t="s">
        <v>2094</v>
      </c>
    </row>
    <row r="23" spans="1:3">
      <c r="A23" s="2" t="s">
        <v>2048</v>
      </c>
      <c r="C23" s="2" t="s">
        <v>2095</v>
      </c>
    </row>
    <row r="24" spans="1:3">
      <c r="A24" s="2" t="s">
        <v>2049</v>
      </c>
      <c r="C24" s="2" t="s">
        <v>2096</v>
      </c>
    </row>
    <row r="25" spans="1:3">
      <c r="A25" s="2" t="s">
        <v>2050</v>
      </c>
      <c r="C25" s="2" t="s">
        <v>2073</v>
      </c>
    </row>
    <row r="26" spans="1:3">
      <c r="A26" s="2" t="s">
        <v>2051</v>
      </c>
      <c r="C26" s="2" t="s">
        <v>2097</v>
      </c>
    </row>
    <row r="27" spans="1:3">
      <c r="A27" s="2" t="s">
        <v>2048</v>
      </c>
      <c r="C27" s="2" t="s">
        <v>2098</v>
      </c>
    </row>
    <row r="28" spans="1:3">
      <c r="A28" s="2" t="s">
        <v>2052</v>
      </c>
      <c r="C28" s="2" t="s">
        <v>2099</v>
      </c>
    </row>
    <row r="29" spans="1:3">
      <c r="A29" s="2" t="s">
        <v>2053</v>
      </c>
      <c r="C29" s="2" t="s">
        <v>1898</v>
      </c>
    </row>
    <row r="30" spans="1:3">
      <c r="A30" s="2" t="s">
        <v>2054</v>
      </c>
      <c r="C30" s="2" t="s">
        <v>1878</v>
      </c>
    </row>
    <row r="31" spans="1:3">
      <c r="A31" s="2" t="s">
        <v>2055</v>
      </c>
      <c r="C31" s="2" t="s">
        <v>1890</v>
      </c>
    </row>
    <row r="32" spans="1:3">
      <c r="A32" s="2" t="s">
        <v>2056</v>
      </c>
      <c r="C32" s="2" t="s">
        <v>2084</v>
      </c>
    </row>
    <row r="33" spans="1:3">
      <c r="A33" s="2" t="s">
        <v>1981</v>
      </c>
      <c r="C33" s="2" t="s">
        <v>1872</v>
      </c>
    </row>
    <row r="34" spans="1:3">
      <c r="A34" s="2" t="s">
        <v>2057</v>
      </c>
      <c r="C34" s="2" t="s">
        <v>2100</v>
      </c>
    </row>
    <row r="35" spans="1:3">
      <c r="A35" s="2" t="s">
        <v>2058</v>
      </c>
      <c r="C35" s="2" t="s">
        <v>2101</v>
      </c>
    </row>
    <row r="36" spans="1:3">
      <c r="A36" s="2" t="s">
        <v>2059</v>
      </c>
      <c r="C36" s="2" t="s">
        <v>1865</v>
      </c>
    </row>
    <row r="37" spans="1:3">
      <c r="A37" s="2" t="s">
        <v>2060</v>
      </c>
      <c r="C37" s="2" t="s">
        <v>2102</v>
      </c>
    </row>
    <row r="38" spans="1:3">
      <c r="A38" s="2" t="s">
        <v>2061</v>
      </c>
      <c r="C38" s="2" t="s">
        <v>1831</v>
      </c>
    </row>
    <row r="39" spans="1:3">
      <c r="A39" s="2" t="s">
        <v>2062</v>
      </c>
      <c r="C39" s="2" t="s">
        <v>2103</v>
      </c>
    </row>
    <row r="40" spans="1:3">
      <c r="A40" s="2" t="s">
        <v>2063</v>
      </c>
      <c r="C40" s="2" t="s">
        <v>2104</v>
      </c>
    </row>
    <row r="41" spans="1:3">
      <c r="A41" s="2" t="s">
        <v>2064</v>
      </c>
      <c r="C41" s="2" t="s">
        <v>2105</v>
      </c>
    </row>
    <row r="42" spans="1:3">
      <c r="A42" s="2" t="s">
        <v>2065</v>
      </c>
      <c r="C42" s="2" t="s">
        <v>2106</v>
      </c>
    </row>
    <row r="43" spans="1:3">
      <c r="A43" s="2" t="s">
        <v>2066</v>
      </c>
      <c r="C43" s="2" t="s">
        <v>1840</v>
      </c>
    </row>
    <row r="44" spans="1:3">
      <c r="A44" s="2" t="s">
        <v>2067</v>
      </c>
      <c r="C44" s="2" t="s">
        <v>2107</v>
      </c>
    </row>
    <row r="45" spans="1:3">
      <c r="A45" s="2" t="s">
        <v>2068</v>
      </c>
      <c r="C45" s="2" t="s">
        <v>2108</v>
      </c>
    </row>
    <row r="46" spans="1:3">
      <c r="A46" s="2" t="s">
        <v>2069</v>
      </c>
      <c r="C46" s="2" t="s">
        <v>2089</v>
      </c>
    </row>
    <row r="47" spans="1:3">
      <c r="A47" s="2" t="s">
        <v>2070</v>
      </c>
      <c r="C47" s="2" t="s">
        <v>2109</v>
      </c>
    </row>
    <row r="48" spans="1:3">
      <c r="A48" s="2" t="s">
        <v>2071</v>
      </c>
      <c r="C48" s="2" t="s">
        <v>1806</v>
      </c>
    </row>
    <row r="49" spans="1:3">
      <c r="A49" s="2" t="s">
        <v>2072</v>
      </c>
      <c r="C49" s="2" t="s">
        <v>2110</v>
      </c>
    </row>
    <row r="50" spans="1:3" ht="13.8" thickBot="1">
      <c r="A50" t="s">
        <v>2073</v>
      </c>
      <c r="C50" s="2" t="s">
        <v>2111</v>
      </c>
    </row>
    <row r="51" spans="1:3" ht="13.8" thickBot="1">
      <c r="A51" s="423" t="s">
        <v>2138</v>
      </c>
      <c r="C51" s="2" t="s">
        <v>2112</v>
      </c>
    </row>
    <row r="52" spans="1:3">
      <c r="A52" s="2" t="s">
        <v>2139</v>
      </c>
      <c r="C52" s="2" t="s">
        <v>2113</v>
      </c>
    </row>
    <row r="53" spans="1:3" ht="13.8" thickBot="1">
      <c r="A53" s="2" t="s">
        <v>2140</v>
      </c>
      <c r="C53" s="2" t="s">
        <v>2114</v>
      </c>
    </row>
    <row r="54" spans="1:3" ht="13.8" thickBot="1">
      <c r="A54" s="423" t="s">
        <v>2141</v>
      </c>
      <c r="C54" s="2" t="s">
        <v>2115</v>
      </c>
    </row>
    <row r="55" spans="1:3">
      <c r="A55" s="2" t="s">
        <v>2072</v>
      </c>
      <c r="C55" s="2" t="s">
        <v>1777</v>
      </c>
    </row>
    <row r="56" spans="1:3" ht="13.8" thickBot="1">
      <c r="A56" s="2" t="s">
        <v>2142</v>
      </c>
      <c r="C56" s="2" t="s">
        <v>2116</v>
      </c>
    </row>
    <row r="57" spans="1:3" ht="13.8" thickBot="1">
      <c r="A57" s="423" t="s">
        <v>2143</v>
      </c>
      <c r="C57" s="2" t="s">
        <v>2115</v>
      </c>
    </row>
    <row r="58" spans="1:3">
      <c r="A58" s="2" t="s">
        <v>2144</v>
      </c>
      <c r="C58" s="2" t="s">
        <v>1764</v>
      </c>
    </row>
    <row r="59" spans="1:3">
      <c r="A59" s="2" t="s">
        <v>2145</v>
      </c>
      <c r="C59" s="2" t="s">
        <v>2117</v>
      </c>
    </row>
    <row r="60" spans="1:3">
      <c r="A60" s="2" t="s">
        <v>2146</v>
      </c>
      <c r="C60" s="2" t="s">
        <v>2118</v>
      </c>
    </row>
    <row r="61" spans="1:3">
      <c r="A61" t="s">
        <v>2106</v>
      </c>
      <c r="C61" s="2" t="s">
        <v>2119</v>
      </c>
    </row>
    <row r="62" spans="1:3">
      <c r="A62" s="2" t="s">
        <v>2100</v>
      </c>
      <c r="C62" s="2" t="s">
        <v>2120</v>
      </c>
    </row>
    <row r="63" spans="1:3" ht="13.8" thickBot="1">
      <c r="A63" s="2" t="s">
        <v>2147</v>
      </c>
      <c r="C63" s="2" t="s">
        <v>2121</v>
      </c>
    </row>
    <row r="64" spans="1:3" ht="13.8" thickBot="1">
      <c r="A64" s="423" t="s">
        <v>2148</v>
      </c>
      <c r="C64" s="2" t="s">
        <v>1751</v>
      </c>
    </row>
    <row r="65" spans="1:3" ht="13.8" thickBot="1">
      <c r="A65" s="423" t="s">
        <v>2149</v>
      </c>
      <c r="C65" s="2" t="s">
        <v>1735</v>
      </c>
    </row>
    <row r="66" spans="1:3">
      <c r="A66" s="2" t="s">
        <v>2150</v>
      </c>
      <c r="C66" s="2" t="s">
        <v>2122</v>
      </c>
    </row>
    <row r="67" spans="1:3">
      <c r="A67" s="2" t="s">
        <v>2151</v>
      </c>
      <c r="C67" s="2" t="s">
        <v>2123</v>
      </c>
    </row>
    <row r="68" spans="1:3" ht="13.8" thickBot="1">
      <c r="A68" s="2" t="s">
        <v>2152</v>
      </c>
      <c r="C68" s="2" t="s">
        <v>2124</v>
      </c>
    </row>
    <row r="69" spans="1:3" ht="13.8" thickBot="1">
      <c r="A69" s="423" t="s">
        <v>2153</v>
      </c>
      <c r="C69" s="2" t="s">
        <v>2125</v>
      </c>
    </row>
    <row r="70" spans="1:3" ht="13.8" thickBot="1">
      <c r="A70" s="2" t="s">
        <v>2151</v>
      </c>
      <c r="C70" s="2" t="s">
        <v>2126</v>
      </c>
    </row>
    <row r="71" spans="1:3" ht="13.8" thickBot="1">
      <c r="A71" s="423" t="s">
        <v>2154</v>
      </c>
      <c r="C71" s="2" t="s">
        <v>2127</v>
      </c>
    </row>
    <row r="72" spans="1:3" ht="13.8" thickBot="1">
      <c r="A72" s="423" t="s">
        <v>2155</v>
      </c>
      <c r="C72" s="2" t="s">
        <v>2128</v>
      </c>
    </row>
    <row r="73" spans="1:3" ht="13.8" thickBot="1">
      <c r="A73" s="423" t="s">
        <v>2156</v>
      </c>
      <c r="C73" s="2" t="s">
        <v>2129</v>
      </c>
    </row>
    <row r="74" spans="1:3" ht="13.8" thickBot="1">
      <c r="A74" s="2" t="s">
        <v>2157</v>
      </c>
      <c r="C74" s="2" t="s">
        <v>1712</v>
      </c>
    </row>
    <row r="75" spans="1:3" ht="13.8" thickBot="1">
      <c r="A75" s="423" t="s">
        <v>2158</v>
      </c>
      <c r="C75" s="2" t="s">
        <v>1719</v>
      </c>
    </row>
    <row r="76" spans="1:3" ht="13.8" thickBot="1">
      <c r="A76" s="423" t="s">
        <v>2159</v>
      </c>
      <c r="C76" s="2" t="s">
        <v>2130</v>
      </c>
    </row>
    <row r="77" spans="1:3" ht="13.8" thickBot="1">
      <c r="A77" s="423" t="s">
        <v>2160</v>
      </c>
      <c r="C77" s="2" t="s">
        <v>2131</v>
      </c>
    </row>
    <row r="78" spans="1:3" ht="13.8" thickBot="1">
      <c r="A78" s="423" t="s">
        <v>2161</v>
      </c>
      <c r="C78" s="2" t="s">
        <v>2132</v>
      </c>
    </row>
    <row r="79" spans="1:3" ht="13.8" thickBot="1">
      <c r="A79" s="2" t="s">
        <v>2162</v>
      </c>
      <c r="C79" s="2" t="s">
        <v>2133</v>
      </c>
    </row>
    <row r="80" spans="1:3" ht="13.8" thickBot="1">
      <c r="A80" s="423" t="s">
        <v>2163</v>
      </c>
      <c r="C80" s="2" t="s">
        <v>2134</v>
      </c>
    </row>
    <row r="81" spans="1:3" ht="13.8" thickBot="1">
      <c r="A81" s="423" t="s">
        <v>2164</v>
      </c>
      <c r="C81" s="2" t="s">
        <v>2135</v>
      </c>
    </row>
    <row r="82" spans="1:3" ht="13.8" thickBot="1">
      <c r="A82" s="423" t="s">
        <v>2170</v>
      </c>
      <c r="C82" s="2" t="s">
        <v>2136</v>
      </c>
    </row>
    <row r="83" spans="1:3" ht="13.8" thickBot="1">
      <c r="A83" s="423" t="s">
        <v>2171</v>
      </c>
      <c r="C83" s="2" t="s">
        <v>2165</v>
      </c>
    </row>
    <row r="84" spans="1:3" ht="13.8" thickBot="1">
      <c r="A84" s="2" t="s">
        <v>2172</v>
      </c>
      <c r="C84" s="2" t="s">
        <v>2166</v>
      </c>
    </row>
    <row r="85" spans="1:3" ht="13.8" thickBot="1">
      <c r="A85" s="423" t="s">
        <v>2174</v>
      </c>
      <c r="C85" s="2" t="s">
        <v>2167</v>
      </c>
    </row>
    <row r="86" spans="1:3">
      <c r="A86" s="2" t="s">
        <v>2175</v>
      </c>
      <c r="C86" s="2" t="s">
        <v>2168</v>
      </c>
    </row>
    <row r="87" spans="1:3">
      <c r="A87" s="2" t="s">
        <v>2176</v>
      </c>
      <c r="C87" s="2" t="s">
        <v>2169</v>
      </c>
    </row>
    <row r="88" spans="1:3">
      <c r="A88" s="2" t="s">
        <v>2177</v>
      </c>
      <c r="C88" s="2" t="s">
        <v>2173</v>
      </c>
    </row>
    <row r="89" spans="1:3">
      <c r="A89" s="433"/>
    </row>
    <row r="90" spans="1:3">
      <c r="A90" s="433"/>
    </row>
    <row r="91" spans="1:3">
      <c r="A91" s="433"/>
    </row>
    <row r="92" spans="1:3">
      <c r="A92" s="433"/>
    </row>
    <row r="93" spans="1:3">
      <c r="A93" s="433"/>
    </row>
    <row r="94" spans="1:3">
      <c r="A94" s="433"/>
    </row>
    <row r="95" spans="1:3">
      <c r="A95" s="433"/>
    </row>
    <row r="96" spans="1:3">
      <c r="A96" s="433"/>
    </row>
    <row r="97" spans="1:1">
      <c r="A97" s="433"/>
    </row>
    <row r="98" spans="1:1">
      <c r="A98" s="433"/>
    </row>
    <row r="99" spans="1:1">
      <c r="A99" s="433"/>
    </row>
    <row r="100" spans="1:1">
      <c r="A100" s="433"/>
    </row>
    <row r="101" spans="1:1">
      <c r="A101" s="433"/>
    </row>
    <row r="102" spans="1:1">
      <c r="A102" s="433"/>
    </row>
    <row r="103" spans="1:1">
      <c r="A103" s="433"/>
    </row>
    <row r="104" spans="1:1">
      <c r="A104" s="433"/>
    </row>
    <row r="105" spans="1:1">
      <c r="A105" s="433"/>
    </row>
    <row r="106" spans="1:1">
      <c r="A106" s="433"/>
    </row>
    <row r="107" spans="1:1">
      <c r="A107" s="433"/>
    </row>
    <row r="108" spans="1:1">
      <c r="A108" s="433"/>
    </row>
    <row r="109" spans="1:1">
      <c r="A109" s="433"/>
    </row>
    <row r="110" spans="1:1">
      <c r="A110" s="433"/>
    </row>
    <row r="111" spans="1:1">
      <c r="A111" s="433"/>
    </row>
    <row r="112" spans="1:1">
      <c r="A112" s="433"/>
    </row>
    <row r="113" spans="1:1">
      <c r="A113" s="433"/>
    </row>
    <row r="114" spans="1:1">
      <c r="A114" s="433"/>
    </row>
    <row r="115" spans="1:1">
      <c r="A115" s="433"/>
    </row>
    <row r="116" spans="1:1">
      <c r="A116" s="433"/>
    </row>
    <row r="117" spans="1:1">
      <c r="A117" s="433"/>
    </row>
    <row r="118" spans="1:1">
      <c r="A118" s="433"/>
    </row>
    <row r="119" spans="1:1">
      <c r="A119" s="433"/>
    </row>
    <row r="120" spans="1:1">
      <c r="A120" s="433"/>
    </row>
    <row r="121" spans="1:1">
      <c r="A121" s="433"/>
    </row>
    <row r="122" spans="1:1">
      <c r="A122" s="433"/>
    </row>
    <row r="123" spans="1:1">
      <c r="A123" s="433"/>
    </row>
    <row r="124" spans="1:1">
      <c r="A124" s="433"/>
    </row>
    <row r="125" spans="1:1">
      <c r="A125" s="433"/>
    </row>
    <row r="126" spans="1:1">
      <c r="A126" s="433"/>
    </row>
    <row r="127" spans="1:1">
      <c r="A127" s="433"/>
    </row>
    <row r="128" spans="1:1">
      <c r="A128" s="433"/>
    </row>
    <row r="129" spans="1:1">
      <c r="A129" s="433"/>
    </row>
    <row r="130" spans="1:1">
      <c r="A130" s="433"/>
    </row>
    <row r="131" spans="1:1">
      <c r="A131" s="433"/>
    </row>
    <row r="132" spans="1:1">
      <c r="A132" s="433"/>
    </row>
    <row r="133" spans="1:1">
      <c r="A133" s="433"/>
    </row>
    <row r="134" spans="1:1">
      <c r="A134" s="433"/>
    </row>
    <row r="135" spans="1:1">
      <c r="A135" s="433"/>
    </row>
    <row r="136" spans="1:1">
      <c r="A136" s="433"/>
    </row>
    <row r="137" spans="1:1">
      <c r="A137" s="433"/>
    </row>
    <row r="138" spans="1:1">
      <c r="A138" s="433"/>
    </row>
    <row r="139" spans="1:1">
      <c r="A139" s="433"/>
    </row>
    <row r="140" spans="1:1">
      <c r="A140" s="433"/>
    </row>
    <row r="141" spans="1:1">
      <c r="A141" s="433"/>
    </row>
    <row r="142" spans="1:1">
      <c r="A142" s="433"/>
    </row>
    <row r="143" spans="1:1">
      <c r="A143" s="433"/>
    </row>
    <row r="144" spans="1:1">
      <c r="A144" s="433"/>
    </row>
    <row r="145" spans="1:1">
      <c r="A145" s="433"/>
    </row>
    <row r="146" spans="1:1">
      <c r="A146" s="433"/>
    </row>
    <row r="147" spans="1:1">
      <c r="A147" s="433"/>
    </row>
    <row r="148" spans="1:1">
      <c r="A148" s="433"/>
    </row>
    <row r="149" spans="1:1">
      <c r="A149" s="433"/>
    </row>
    <row r="150" spans="1:1">
      <c r="A150" s="433"/>
    </row>
    <row r="151" spans="1:1">
      <c r="A151" s="433"/>
    </row>
    <row r="152" spans="1:1">
      <c r="A152" s="433"/>
    </row>
    <row r="153" spans="1:1">
      <c r="A153" s="433"/>
    </row>
    <row r="154" spans="1:1">
      <c r="A154" s="433"/>
    </row>
    <row r="155" spans="1:1">
      <c r="A155" s="433"/>
    </row>
    <row r="156" spans="1:1">
      <c r="A156" s="433"/>
    </row>
    <row r="157" spans="1:1">
      <c r="A157" s="433"/>
    </row>
    <row r="158" spans="1:1">
      <c r="A158" s="433"/>
    </row>
    <row r="159" spans="1:1">
      <c r="A159" s="433"/>
    </row>
    <row r="160" spans="1:1">
      <c r="A160" s="433"/>
    </row>
    <row r="161" spans="1:1">
      <c r="A161" s="433"/>
    </row>
    <row r="162" spans="1:1">
      <c r="A162" s="433"/>
    </row>
    <row r="163" spans="1:1">
      <c r="A163" s="433"/>
    </row>
    <row r="164" spans="1:1">
      <c r="A164" s="433"/>
    </row>
    <row r="165" spans="1:1">
      <c r="A165" s="433"/>
    </row>
    <row r="166" spans="1:1">
      <c r="A166" s="433"/>
    </row>
    <row r="167" spans="1:1">
      <c r="A167" s="433"/>
    </row>
    <row r="168" spans="1:1">
      <c r="A168" s="433"/>
    </row>
    <row r="169" spans="1:1">
      <c r="A169" s="433"/>
    </row>
    <row r="170" spans="1:1">
      <c r="A170" s="433"/>
    </row>
    <row r="171" spans="1:1">
      <c r="A171" s="433"/>
    </row>
    <row r="172" spans="1:1">
      <c r="A172" s="433"/>
    </row>
    <row r="173" spans="1:1">
      <c r="A173" s="433"/>
    </row>
    <row r="174" spans="1:1">
      <c r="A174" s="433"/>
    </row>
    <row r="175" spans="1:1">
      <c r="A175" s="433"/>
    </row>
    <row r="176" spans="1:1">
      <c r="A176" s="434"/>
    </row>
    <row r="177" spans="1:2">
      <c r="A177" s="147"/>
      <c r="B177" s="143"/>
    </row>
    <row r="178" spans="1:2">
      <c r="A178" s="151"/>
      <c r="B178" s="143"/>
    </row>
    <row r="179" spans="1:2">
      <c r="A179" s="151"/>
      <c r="B179" s="143"/>
    </row>
    <row r="180" spans="1:2">
      <c r="A180" s="151"/>
      <c r="B180" s="143"/>
    </row>
    <row r="181" spans="1:2">
      <c r="A181" s="147"/>
      <c r="B181" s="143"/>
    </row>
    <row r="182" spans="1:2">
      <c r="A182" s="147"/>
      <c r="B182" s="143"/>
    </row>
    <row r="183" spans="1:2">
      <c r="A183" s="181"/>
      <c r="B183" s="177"/>
    </row>
    <row r="184" spans="1:2">
      <c r="A184" s="147"/>
      <c r="B184" s="143"/>
    </row>
    <row r="185" spans="1:2">
      <c r="A185" s="147"/>
      <c r="B185" s="143"/>
    </row>
    <row r="186" spans="1:2">
      <c r="A186" s="147"/>
      <c r="B186" s="143"/>
    </row>
    <row r="187" spans="1:2">
      <c r="A187" s="147"/>
      <c r="B187" s="143"/>
    </row>
    <row r="188" spans="1:2">
      <c r="A188" s="147"/>
      <c r="B188" s="143"/>
    </row>
    <row r="189" spans="1:2">
      <c r="A189" s="151"/>
      <c r="B189" s="143"/>
    </row>
    <row r="190" spans="1:2">
      <c r="A190" s="151"/>
      <c r="B190" s="143"/>
    </row>
    <row r="191" spans="1:2">
      <c r="A191" s="151"/>
      <c r="B191" s="143"/>
    </row>
    <row r="192" spans="1:2">
      <c r="A192" s="147"/>
      <c r="B192" s="143"/>
    </row>
    <row r="193" spans="1:2">
      <c r="A193" s="147"/>
      <c r="B193" s="143"/>
    </row>
    <row r="194" spans="1:2">
      <c r="A194" s="147"/>
      <c r="B194" s="143"/>
    </row>
    <row r="195" spans="1:2">
      <c r="A195" s="147"/>
      <c r="B195" s="143"/>
    </row>
    <row r="196" spans="1:2">
      <c r="A196" s="222"/>
      <c r="B196" s="219"/>
    </row>
    <row r="197" spans="1:2">
      <c r="A197" s="228"/>
      <c r="B197" s="225"/>
    </row>
    <row r="198" spans="1:2">
      <c r="A198" s="222"/>
      <c r="B198" s="219"/>
    </row>
    <row r="199" spans="1:2">
      <c r="A199" s="147"/>
      <c r="B199" s="143"/>
    </row>
    <row r="200" spans="1:2">
      <c r="A200" s="147"/>
      <c r="B200" s="143"/>
    </row>
    <row r="201" spans="1:2">
      <c r="A201" s="147"/>
      <c r="B201" s="143"/>
    </row>
    <row r="202" spans="1:2">
      <c r="A202" s="147"/>
      <c r="B202" s="143"/>
    </row>
    <row r="203" spans="1:2" ht="13.8" thickBot="1">
      <c r="A203" s="211"/>
      <c r="B203" s="208"/>
    </row>
    <row r="204" spans="1:2">
      <c r="A204" s="147"/>
      <c r="B204" s="143"/>
    </row>
    <row r="205" spans="1:2" ht="13.8" thickBot="1">
      <c r="A205" s="147"/>
      <c r="B205" s="143"/>
    </row>
    <row r="206" spans="1:2">
      <c r="A206" s="171"/>
      <c r="B206" s="143"/>
    </row>
    <row r="207" spans="1:2">
      <c r="A207" s="147"/>
      <c r="B207" s="143"/>
    </row>
    <row r="208" spans="1:2">
      <c r="A208" s="147"/>
      <c r="B208" s="143"/>
    </row>
    <row r="209" spans="1:2">
      <c r="A209" s="147"/>
      <c r="B209" s="143"/>
    </row>
    <row r="210" spans="1:2">
      <c r="A210" s="147"/>
      <c r="B210" s="143"/>
    </row>
    <row r="211" spans="1:2">
      <c r="A211" s="147"/>
      <c r="B211" s="143"/>
    </row>
    <row r="212" spans="1:2">
      <c r="A212" s="147"/>
      <c r="B212" s="143"/>
    </row>
    <row r="213" spans="1:2">
      <c r="A213" s="147"/>
      <c r="B213" s="143"/>
    </row>
    <row r="214" spans="1:2">
      <c r="A214" s="147"/>
      <c r="B214" s="143"/>
    </row>
    <row r="215" spans="1:2">
      <c r="A215" s="147"/>
      <c r="B215" s="143"/>
    </row>
    <row r="216" spans="1:2">
      <c r="A216" s="147"/>
      <c r="B216" s="143"/>
    </row>
    <row r="217" spans="1:2">
      <c r="A217" s="147"/>
      <c r="B217" s="143"/>
    </row>
    <row r="218" spans="1:2">
      <c r="A218" s="147"/>
      <c r="B218" s="143"/>
    </row>
    <row r="219" spans="1:2">
      <c r="A219" s="147"/>
      <c r="B219" s="143"/>
    </row>
    <row r="220" spans="1:2">
      <c r="A220" s="147"/>
      <c r="B220" s="143"/>
    </row>
    <row r="221" spans="1:2">
      <c r="A221" s="147"/>
      <c r="B221" s="143"/>
    </row>
    <row r="222" spans="1:2">
      <c r="A222" s="147"/>
      <c r="B222" s="143"/>
    </row>
    <row r="223" spans="1:2">
      <c r="A223" s="147"/>
      <c r="B223" s="143"/>
    </row>
    <row r="224" spans="1:2">
      <c r="A224" s="147"/>
      <c r="B224" s="143"/>
    </row>
    <row r="225" spans="1:2">
      <c r="A225" s="147"/>
      <c r="B225" s="143"/>
    </row>
    <row r="226" spans="1:2">
      <c r="A226" s="147"/>
      <c r="B226" s="143"/>
    </row>
    <row r="227" spans="1:2">
      <c r="A227" s="147"/>
      <c r="B227" s="143"/>
    </row>
    <row r="228" spans="1:2">
      <c r="A228" s="253"/>
      <c r="B228" s="143"/>
    </row>
    <row r="229" spans="1:2">
      <c r="A229" s="274"/>
      <c r="B229" s="271"/>
    </row>
    <row r="230" spans="1:2" ht="13.8" thickBot="1">
      <c r="A230" s="430"/>
      <c r="B230" s="143"/>
    </row>
    <row r="231" spans="1:2">
      <c r="A231" s="253"/>
      <c r="B231" s="143"/>
    </row>
    <row r="232" spans="1:2" ht="13.8" thickBot="1">
      <c r="A232" s="253"/>
      <c r="B232" s="143"/>
    </row>
    <row r="233" spans="1:2">
      <c r="A233" s="426"/>
      <c r="B233" s="143"/>
    </row>
    <row r="234" spans="1:2">
      <c r="A234" s="253"/>
      <c r="B234" s="143"/>
    </row>
    <row r="235" spans="1:2">
      <c r="A235" s="253"/>
      <c r="B235" s="143"/>
    </row>
    <row r="236" spans="1:2">
      <c r="A236" s="253"/>
      <c r="B236" s="143"/>
    </row>
    <row r="237" spans="1:2">
      <c r="A237" s="370"/>
      <c r="B237" s="225"/>
    </row>
    <row r="238" spans="1:2">
      <c r="A238" s="253"/>
      <c r="B238" s="143"/>
    </row>
    <row r="239" spans="1:2">
      <c r="A239" s="253"/>
      <c r="B239" s="143"/>
    </row>
    <row r="240" spans="1:2">
      <c r="A240" s="253"/>
      <c r="B240" s="143"/>
    </row>
    <row r="241" spans="1:2">
      <c r="A241" s="294"/>
      <c r="B241" s="291"/>
    </row>
    <row r="242" spans="1:2">
      <c r="A242" s="294"/>
      <c r="B242" s="291"/>
    </row>
    <row r="243" spans="1:2">
      <c r="A243" s="294"/>
      <c r="B243" s="291"/>
    </row>
    <row r="244" spans="1:2">
      <c r="A244" s="294"/>
      <c r="B244" s="291"/>
    </row>
    <row r="245" spans="1:2">
      <c r="A245" s="294"/>
      <c r="B245" s="291"/>
    </row>
    <row r="246" spans="1:2">
      <c r="A246" s="299"/>
      <c r="B246" s="291"/>
    </row>
    <row r="247" spans="1:2">
      <c r="A247" s="294"/>
      <c r="B247" s="291"/>
    </row>
    <row r="248" spans="1:2" ht="13.8" thickBot="1">
      <c r="A248" s="429"/>
      <c r="B248" s="291"/>
    </row>
    <row r="249" spans="1:2">
      <c r="A249" s="306"/>
      <c r="B249" s="302"/>
    </row>
    <row r="250" spans="1:2">
      <c r="A250" s="294"/>
      <c r="B250" s="291"/>
    </row>
    <row r="251" spans="1:2">
      <c r="A251" s="264"/>
      <c r="B251" s="310"/>
    </row>
    <row r="252" spans="1:2">
      <c r="A252" s="320"/>
      <c r="B252" s="317"/>
    </row>
    <row r="253" spans="1:2">
      <c r="A253" s="306"/>
      <c r="B253" s="302"/>
    </row>
    <row r="254" spans="1:2">
      <c r="A254" s="294"/>
      <c r="B254" s="291"/>
    </row>
    <row r="255" spans="1:2">
      <c r="A255" s="294"/>
      <c r="B255" s="291"/>
    </row>
    <row r="256" spans="1:2">
      <c r="A256" s="294"/>
      <c r="B256" s="291"/>
    </row>
    <row r="257" spans="1:2">
      <c r="A257" s="294"/>
      <c r="B257" s="291"/>
    </row>
    <row r="258" spans="1:2">
      <c r="A258" s="194"/>
      <c r="B258" s="291"/>
    </row>
    <row r="259" spans="1:2">
      <c r="A259" s="294"/>
      <c r="B259" s="291"/>
    </row>
    <row r="260" spans="1:2">
      <c r="A260" s="294"/>
      <c r="B260" s="291"/>
    </row>
    <row r="261" spans="1:2">
      <c r="A261" s="294"/>
      <c r="B261" s="291"/>
    </row>
    <row r="262" spans="1:2">
      <c r="A262" s="294"/>
      <c r="B262" s="291"/>
    </row>
    <row r="263" spans="1:2">
      <c r="A263" s="294"/>
      <c r="B263" s="291"/>
    </row>
    <row r="264" spans="1:2">
      <c r="A264" s="294"/>
      <c r="B264" s="291"/>
    </row>
    <row r="265" spans="1:2">
      <c r="A265" s="343"/>
      <c r="B265" s="310"/>
    </row>
    <row r="266" spans="1:2">
      <c r="A266" s="344"/>
      <c r="B266" s="310"/>
    </row>
    <row r="267" spans="1:2">
      <c r="A267" s="294"/>
      <c r="B267" s="291"/>
    </row>
    <row r="268" spans="1:2">
      <c r="A268" s="294"/>
      <c r="B268" s="291"/>
    </row>
    <row r="269" spans="1:2">
      <c r="A269" s="294"/>
      <c r="B269" s="291"/>
    </row>
    <row r="270" spans="1:2">
      <c r="A270" s="294"/>
      <c r="B270" s="291"/>
    </row>
    <row r="271" spans="1:2">
      <c r="A271" s="294"/>
      <c r="B271" s="291"/>
    </row>
    <row r="272" spans="1:2">
      <c r="A272" s="294"/>
      <c r="B272" s="291"/>
    </row>
    <row r="273" spans="1:2">
      <c r="A273" s="128"/>
      <c r="B273" s="115"/>
    </row>
    <row r="274" spans="1:2">
      <c r="A274" s="128"/>
      <c r="B274" s="115"/>
    </row>
    <row r="275" spans="1:2">
      <c r="A275" s="128"/>
      <c r="B275" s="115"/>
    </row>
    <row r="276" spans="1:2">
      <c r="A276" s="121"/>
      <c r="B276" s="115"/>
    </row>
    <row r="277" spans="1:2">
      <c r="A277" s="128"/>
      <c r="B277" s="115"/>
    </row>
    <row r="278" spans="1:2">
      <c r="A278" s="363"/>
      <c r="B278" s="115"/>
    </row>
    <row r="279" spans="1:2">
      <c r="A279" s="365"/>
      <c r="B279" s="355"/>
    </row>
    <row r="280" spans="1:2">
      <c r="A280" s="128"/>
      <c r="B280" s="115"/>
    </row>
    <row r="281" spans="1:2">
      <c r="A281" s="365"/>
      <c r="B281" s="355"/>
    </row>
    <row r="282" spans="1:2">
      <c r="A282" s="128"/>
      <c r="B282" s="115"/>
    </row>
    <row r="283" spans="1:2">
      <c r="A283" s="365"/>
      <c r="B283" s="355"/>
    </row>
    <row r="284" spans="1:2">
      <c r="A284" s="401"/>
      <c r="B284" s="355"/>
    </row>
    <row r="285" spans="1:2">
      <c r="A285" s="388"/>
      <c r="B285" s="383"/>
    </row>
    <row r="286" spans="1:2">
      <c r="A286" s="413"/>
      <c r="B286" s="408"/>
    </row>
    <row r="287" spans="1:2">
      <c r="A287" s="375"/>
      <c r="B287" s="372"/>
    </row>
    <row r="288" spans="1:2">
      <c r="A288" s="121"/>
      <c r="B288" s="115"/>
    </row>
    <row r="289" spans="1:2">
      <c r="A289" s="401"/>
      <c r="B289" s="355"/>
    </row>
    <row r="290" spans="1:2">
      <c r="A290" s="401"/>
      <c r="B290" s="355"/>
    </row>
    <row r="291" spans="1:2">
      <c r="A291" s="401"/>
      <c r="B291" s="355"/>
    </row>
    <row r="292" spans="1:2">
      <c r="A292" s="121"/>
      <c r="B292" s="115"/>
    </row>
    <row r="293" spans="1:2">
      <c r="A293" s="121"/>
      <c r="B293" s="115"/>
    </row>
    <row r="294" spans="1:2">
      <c r="A294" s="121"/>
      <c r="B294" s="115"/>
    </row>
    <row r="295" spans="1:2">
      <c r="A295" s="121"/>
      <c r="B295" s="291"/>
    </row>
    <row r="296" spans="1:2">
      <c r="A296" s="121"/>
      <c r="B296" s="115"/>
    </row>
    <row r="297" spans="1:2">
      <c r="A297" s="324"/>
      <c r="B297" s="139"/>
    </row>
    <row r="298" spans="1:2">
      <c r="A298" s="324"/>
      <c r="B298" s="139"/>
    </row>
    <row r="299" spans="1:2">
      <c r="A299" s="324"/>
      <c r="B299" s="139"/>
    </row>
    <row r="300" spans="1:2">
      <c r="A300" s="324"/>
      <c r="B300" s="139"/>
    </row>
    <row r="301" spans="1:2">
      <c r="A301" s="324"/>
      <c r="B301" s="139"/>
    </row>
    <row r="302" spans="1:2">
      <c r="A302" s="324"/>
      <c r="B302" s="139"/>
    </row>
    <row r="303" spans="1:2">
      <c r="A303" s="324"/>
      <c r="B303" s="139"/>
    </row>
    <row r="304" spans="1:2">
      <c r="A304" s="324"/>
      <c r="B304" s="139"/>
    </row>
    <row r="305" spans="1:2">
      <c r="A305" s="324"/>
      <c r="B305" s="139"/>
    </row>
  </sheetData>
  <hyperlinks>
    <hyperlink ref="A2" r:id="rId1" display="mailto:Marinahoffmann82@aol.com?subject=Ihre%20Anfrage%20auf%20hunde-urlaub.net" xr:uid="{A85E56DA-4457-4B92-A616-833375348998}"/>
    <hyperlink ref="A3" r:id="rId2" display="mailto:Martina881979@hotmail.de?subject=Ihre%20Anfrage%20auf%20hunde-urlaub.net" xr:uid="{A692F0F8-03BD-45F6-A316-E691E9E482A3}"/>
    <hyperlink ref="A4" r:id="rId3" display="mailto:Usmotorcycles@web.de?subject=Ihre%20Anfrage%20auf%20hunde-urlaub.net" xr:uid="{DE48AA4C-CF88-4E8C-B45F-A591DD45E0E9}"/>
    <hyperlink ref="A6" r:id="rId4" display="mailto:skotschy@aol.com?subject=Ihre%20Anfrage%20über%20hunde-urlaub.net" xr:uid="{F6231C12-377F-4240-8485-182EA438E3F7}"/>
    <hyperlink ref="A7" r:id="rId5" display="mailto:mechthild-neumueller@web.de?subject=Ihre%20Anfrage%20über%20hunde-urlaub.net" xr:uid="{0C86C9B0-C90E-4D41-9960-04198B167461}"/>
    <hyperlink ref="A8" r:id="rId6" display="mailto:funandjoy83@googlemail.com?subject=Ihre%20Anfrage%20über%20hunde-urlaub.net" xr:uid="{BEC594FA-7DE3-4BD3-A1E0-9E5D31ED018D}"/>
    <hyperlink ref="A9" r:id="rId7" display="mailto:nadine.kretz@gmx.de?subject=Ihre%20Anfrage%20über%20hunde-urlaub.net" xr:uid="{3D75B37B-0290-4FDB-8F65-80D507E24C5A}"/>
    <hyperlink ref="A10" r:id="rId8" display="mailto:bruno.brandl@yahoo.de?subject=Ihre%20Anfrage%20über%20hunde-urlaub.net" xr:uid="{139F6F00-182A-439B-B4EB-C86C1D17155A}"/>
    <hyperlink ref="A11" r:id="rId9" display="mailto:marion.donath@web.de?subject=Ihre%20Anfrage%20über%20hunde-urlaub.net" xr:uid="{23B44E47-6A25-4254-99E2-4B68BF9AE8F4}"/>
    <hyperlink ref="A12" r:id="rId10" display="mailto:mlueck71@gmail.com?subject=Ihre%20Anfrage%20über%20hunde-urlaub.net" xr:uid="{D07BCF93-D2F4-4B7E-8A52-1AF6379B762D}"/>
    <hyperlink ref="A13" r:id="rId11" display="mailto:brittab6@gmail.com?subject=Ihre%20Anfrage%20über%20hunde-urlaub.net" xr:uid="{A3A922A0-401E-481E-8247-B3C6C4D57FAE}"/>
    <hyperlink ref="A14" r:id="rId12" display="mailto:Arancha1209@aol.com?subject=Ihre%20Anfrage%20über%20hunde-urlaub.net" xr:uid="{8B088B4D-C5AC-4F0C-8B73-B5AA45B4B228}"/>
    <hyperlink ref="A15" r:id="rId13" display="mailto:mail@katharinaklimza.de?subject=Ihre%20Anfrage%20über%20hunde-urlaub.net" xr:uid="{29ECEC53-9317-476E-A886-284D48269568}"/>
    <hyperlink ref="A16" r:id="rId14" display="mailto:Julia.dose@gmx.de?subject=Ihre%20Anfrage%20über%20hunde-urlaub.net" xr:uid="{D8DED192-ADB6-410F-BF61-8C39E5B73C7A}"/>
    <hyperlink ref="A17" r:id="rId15" display="mailto:k.p.moeller@t-online.de?subject=Ihre%20Anfrage%20über%20hunde-urlaub.net" xr:uid="{18ECC565-C650-43AD-B224-A5310BED364A}"/>
    <hyperlink ref="A18" r:id="rId16" display="mailto:wickwick@t-online.de?subject=Ihre%20Anfrage%20über%20hunde-urlaub.net" xr:uid="{24F6F908-B663-4E1F-AC12-D29054ADC822}"/>
    <hyperlink ref="A19" r:id="rId17" display="mailto:dauphintania@me.com?subject=Ihre%20Anfrage%20über%20hunde-urlaub.net" xr:uid="{9565DB06-9516-4A2F-835F-AF0B462676B5}"/>
    <hyperlink ref="A20" r:id="rId18" display="mailto:Nadja.kathrin.engel@icloud.com?subject=Ihre%20Anfrage%20über%20hunde-urlaub.net" xr:uid="{8091E736-1788-43DC-A789-01FE77D24706}"/>
    <hyperlink ref="A21" r:id="rId19" display="mailto:c.najda@t-online.de?subject=Ihre%20Anfrage%20über%20hunde-urlaub.net" xr:uid="{D0FCE717-380C-4311-8260-5A4E59BB6B3B}"/>
    <hyperlink ref="A22" r:id="rId20" display="mailto:Nadja.kathrin.engel@icloud.com?subject=Ihre%20Anfrage%20über%20hunde-urlaub.net" xr:uid="{D949375A-6E65-41DA-B409-7BE7F971BCB0}"/>
    <hyperlink ref="A23" r:id="rId21" display="mailto:kieksi77@yahoo.de?subject=Ihre%20Anfrage%20über%20hunde-urlaub.net" xr:uid="{5192A734-5C29-4D7B-A2AE-CC1EB998C216}"/>
    <hyperlink ref="A24" r:id="rId22" display="mailto:bgm@scheibbs.gv.at?subject=Ihre%20Anfrage%20über%20hunde-urlaub.net" xr:uid="{9C7E60DC-EFA0-49BC-AFDE-1C8CB8490439}"/>
    <hyperlink ref="A25" r:id="rId23" display="mailto:Monrade@aol.com?subject=Ihre%20Anfrage%20über%20hunde-urlaub.net" xr:uid="{3E1308A8-0973-46E5-91BB-AF3746083551}"/>
    <hyperlink ref="A26" r:id="rId24" display="mailto:susannefandre@gmx.de?subject=Ihre%20Anfrage%20über%20hunde-urlaub.net" xr:uid="{4B05DD04-CA40-4658-A31C-F29413AA71C6}"/>
    <hyperlink ref="A27" r:id="rId25" display="mailto:kieksi77@yahoo.de?subject=Ihre%20Anfrage%20über%20hunde-urlaub.net" xr:uid="{E653CB7E-3E7B-44EB-8A4E-90186C71F5A2}"/>
    <hyperlink ref="A28" r:id="rId26" display="mailto:k.sonnenfeld92@gmail.com?subject=Ihre%20Anfrage%20über%20hunde-urlaub.net" xr:uid="{04C1D45F-A9FD-4E74-9F63-8900BA5363FB}"/>
    <hyperlink ref="A29" r:id="rId27" display="mailto:s-dreger@arcor.de?subject=Ihre%20Anfrage%20über%20hunde-urlaub.net" xr:uid="{49599B23-057A-4454-9480-734B1076E81F}"/>
    <hyperlink ref="A30" r:id="rId28" display="mailto:info@guellergravuren.ch?subject=Ihre%20Anfrage%20über%20hunde-urlaub.net" xr:uid="{93F2B604-4473-4258-86C6-8FA20ECE41FF}"/>
    <hyperlink ref="A31" r:id="rId29" display="mailto:dietmar_juergens@t-online.de?subject=Ihre%20Anfrage%20über%20hunde-urlaub.net" xr:uid="{33A9DEF2-7BD8-4468-BEC2-734C78D34AE4}"/>
    <hyperlink ref="A32" r:id="rId30" display="mailto:ch.weiler63@web.de?subject=Ihre%20Anfrage%20über%20hunde-urlaub.net" xr:uid="{D20FDC8C-9D91-4CE0-A37D-2A6B5328AEAB}"/>
    <hyperlink ref="A33" r:id="rId31" display="mailto:michelle.schneider@ptworldwide.de?subject=Ihre%20Anfrage%20über%20hunde-urlaub.net" xr:uid="{9B24F043-2990-41D6-A34A-4F8C49EB6BF5}"/>
    <hyperlink ref="A34" r:id="rId32" display="mailto:breel1401@web.de?subject=Ihre%20Anfrage%20über%20hunde-urlaub.net" xr:uid="{F8CA396A-8EE6-4795-9793-EB720C6907AC}"/>
    <hyperlink ref="A35" r:id="rId33" display="mailto:alexandra.unz@gmx.de?subject=Ihre%20Anfrage%20über%20hunde-urlaub.net" xr:uid="{5AF3F1CF-2586-4D4F-A808-46A2D8068413}"/>
    <hyperlink ref="A36" r:id="rId34" display="mailto:s.niess3107@gmail.com?subject=Ihre%20Anfrage%20über%20hunde-urlaub.net" xr:uid="{E3B541EC-28A0-451B-9595-189C9C142CFB}"/>
    <hyperlink ref="A37" r:id="rId35" display="mailto:capitainha@t-online.de?subject=Ihre%20Anfrage%20über%20hunde-urlaub.net" xr:uid="{4411F777-8E7F-436F-9958-FDA99A3FAA6B}"/>
    <hyperlink ref="A38" r:id="rId36" display="mailto:gregfabi@me.com?subject=Ihre%20Anfrage%20über%20hunde-urlaub.net" xr:uid="{301B6818-56EC-44DD-926C-79AA61EBD3E7}"/>
    <hyperlink ref="A39" r:id="rId37" display="mailto:sandy.ramer@gmx.ch?subject=Ihre%20Anfrage%20über%20hunde-urlaub.net" xr:uid="{1A36C4C9-4836-4CB4-BD5B-48BBA3AB3E6A}"/>
    <hyperlink ref="A40" r:id="rId38" display="mailto:B.Winter15@googlemail.com?subject=Ihre%20Anfrage%20über%20hunde-urlaub.net" xr:uid="{96560622-ADEE-402C-AF8A-386E76620B31}"/>
    <hyperlink ref="A41" r:id="rId39" display="mailto:hein.silke@kabelmail.de?subject=Ihre%20Anfrage%20über%20hunde-urlaub.net" xr:uid="{E0A37990-F583-494F-9EDE-26017FAD0268}"/>
    <hyperlink ref="A42" r:id="rId40" display="mailto:jgliga123@mailbox.com?subject=Ihre%20Anfrage%20über%20hunde-urlaub.net" xr:uid="{2FB474E9-0B65-4286-AFBC-92EA9F6C57C0}"/>
    <hyperlink ref="A43" r:id="rId41" display="mailto:Kimberley0911@gmail.com?subject=Ihre%20Anfrage%20über%20hunde-urlaub.net" xr:uid="{9A493DE8-F7BA-4F36-B2C8-CB750719F25E}"/>
    <hyperlink ref="A44" r:id="rId42" display="mailto:u.lawrenz@gmx.de?subject=Ihre%20Anfrage%20über%20hunde-urlaub.net" xr:uid="{4B17AB2D-62A6-4B88-B27E-3025421BED49}"/>
    <hyperlink ref="A45" r:id="rId43" display="mailto:filjanele@googlemail.com?subject=Ihre%20Anfrage%20über%20hunde-urlaub.net" xr:uid="{A72EBB96-BFF7-4D03-8467-79AA5D4B864A}"/>
    <hyperlink ref="A46" r:id="rId44" display="mailto:regula.bauriedl@gmx.ch?subject=Ihre%20Anfrage%20über%20hunde-urlaub.net" xr:uid="{3F54B410-FDFB-4C44-823E-22E681E97B95}"/>
    <hyperlink ref="A47" r:id="rId45" display="mailto:j.blienert@kinderheilstaette.de?subject=Ihre%20Anfrage%20über%20hunde-urlaub.net" xr:uid="{56BEEDFD-82EB-4D18-BC23-EF53905A0198}"/>
    <hyperlink ref="A48" r:id="rId46" display="mailto:Christiane.egner@web.de?subject=Ihre%20Anfrage%20über%20hunde-urlaub.net" xr:uid="{76E677E6-174D-4BA8-89C6-045779E2CB15}"/>
    <hyperlink ref="A49" r:id="rId47" display="mailto:brigi212@gmail.com?subject=Ihre%20Anfrage%20über%20hunde-urlaub.net" xr:uid="{F9FDB3E4-822E-428A-9F2D-EB19DC835A1F}"/>
    <hyperlink ref="C2" r:id="rId48" display="mailto:monika.puhe@gmx.de" xr:uid="{03F7E95F-3724-47A8-83F7-C447718BE100}"/>
    <hyperlink ref="C3" r:id="rId49" display="mailto:steffi2109@googlemail.com" xr:uid="{340ACE37-9827-411C-985C-C7FD2B77499F}"/>
    <hyperlink ref="C4" r:id="rId50" display="mailto:melaniefolta@gmx.de" xr:uid="{38BEC763-1324-4026-980B-57341F72C7A9}"/>
    <hyperlink ref="C5" r:id="rId51" display="mailto:corneliameyerhoff@freenet.de" xr:uid="{2C8C85B7-6CDB-4764-9C0E-D4EE8942F929}"/>
    <hyperlink ref="C6" r:id="rId52" display="mailto:jenniferkelm.91@web.de" xr:uid="{C3E04422-8B71-44A8-A974-A19AA3C1A876}"/>
    <hyperlink ref="C7" r:id="rId53" display="mailto:t.gottschlich@gmx.com" xr:uid="{B1AD74E7-D386-469A-A79B-DBD26D38493F}"/>
    <hyperlink ref="C8" r:id="rId54" display="mailto:petra_schindler-wilkins@web.de" xr:uid="{D83D89C0-10A3-428F-84BC-74540C9B0BCF}"/>
    <hyperlink ref="C9" r:id="rId55" display="mailto:kiki@istanders.de" xr:uid="{85D4462D-9A61-4C26-80A6-A6F536058E9D}"/>
    <hyperlink ref="C10" r:id="rId56" display="mailto:vera.hoebusch@t-online.de" xr:uid="{2DC70219-10A8-4F03-B96A-8C6B8B979745}"/>
    <hyperlink ref="C11" r:id="rId57" display="mailto:kh9677@gmail.com" xr:uid="{0DBA19E8-8DFD-47D2-A6A1-CDDD1B370EA7}"/>
    <hyperlink ref="C12" r:id="rId58" display="mailto:r.juhra@yahoo.de" xr:uid="{EE320E82-AB08-4E30-8562-B554BD7AD39E}"/>
    <hyperlink ref="C13" r:id="rId59" display="mailto:Schmid.220575@web.de" xr:uid="{B182EF1A-8963-4D28-B588-7CC34482CF8A}"/>
    <hyperlink ref="C14" r:id="rId60" display="mailto:d.luwald@web.de" xr:uid="{D9138A15-9B4E-4762-AECD-615EF3E52636}"/>
    <hyperlink ref="C15" r:id="rId61" display="mailto:kopp_nicole76@yahoo.de" xr:uid="{C142CB57-BFA7-4975-83A8-7490F1DBAD72}"/>
    <hyperlink ref="C16" r:id="rId62" display="mailto:mail@birgithoffmann.com" xr:uid="{669ED450-8EC5-4695-9EDB-80A81AA01692}"/>
    <hyperlink ref="C17" r:id="rId63" display="mailto:brenntano88@gmail.com" xr:uid="{A97D414B-38D1-458F-A0EB-5EF5C4195D2F}"/>
    <hyperlink ref="C18" r:id="rId64" display="mailto:rocky.caro2015@gmail.de" xr:uid="{1689BD9A-2518-4460-9DBE-9D851C1F2576}"/>
    <hyperlink ref="C19" r:id="rId65" xr:uid="{2C0A2207-EEB3-4823-AFF7-DD86AF8615A9}"/>
    <hyperlink ref="C20" r:id="rId66" display="mailto:patrick.varga1@gmail.com" xr:uid="{6D1D105A-4E56-428B-824F-EFECCDAAEE7D}"/>
    <hyperlink ref="C21" r:id="rId67" display="mailto:sabine.vutirakis@yahoo.com" xr:uid="{598E6420-82AD-4C5C-B332-147152118E18}"/>
    <hyperlink ref="C22" r:id="rId68" display="mailto:solmersitz@t-online.de" xr:uid="{63BBE6EE-A84E-4AA7-B139-9F38F003CA40}"/>
    <hyperlink ref="C23" r:id="rId69" display="mailto:stefanie.opitz@gmx.net" xr:uid="{04D9A3BD-BF13-4D32-9678-2C2ECE2CD811}"/>
    <hyperlink ref="C24" r:id="rId70" display="mailto:Kiam73@t-online.de" xr:uid="{6823A1DE-2DFC-4DB3-8E30-DCD0FFC45F8B}"/>
    <hyperlink ref="C25" r:id="rId71" display="mailto:s.gieseud.hartung@t-online.de" xr:uid="{FEE61BAC-384C-4DB9-9D0D-CC5DAD6533F5}"/>
    <hyperlink ref="C26" r:id="rId72" display="mailto:ingo@naturheilpraxis-rasch.de" xr:uid="{7E7C23B5-EA70-4027-B0F1-BD46CEDE9600}"/>
    <hyperlink ref="C27" r:id="rId73" display="mailto:michaela.munsch@gmx.de" xr:uid="{876FFACF-9DC2-44CD-81B3-9D293387CA29}"/>
    <hyperlink ref="C28" r:id="rId74" display="mailto:dworschak-viktualienmarkt@t-online.de" xr:uid="{6479985A-C306-4C35-ADA5-056528B89E55}"/>
    <hyperlink ref="C29" r:id="rId75" display="mailto:beateritter@t-online.de" xr:uid="{D4A414C8-446C-448A-AF94-87DAE2A862F2}"/>
    <hyperlink ref="C30" r:id="rId76" display="mailto:anny_393@gmx.at" xr:uid="{024A2B51-F3DF-4042-B00E-5415930DC866}"/>
    <hyperlink ref="C31" r:id="rId77" display="mailto:ryser.ittigen@bluewin.ch" xr:uid="{F4C0825C-A2BE-49E9-B852-4F7B8409A9CF}"/>
    <hyperlink ref="C32" r:id="rId78" display="mailto:kh9677@gmail.com" xr:uid="{38EF1EA7-2ED8-4F50-9C3A-14F92E8CE9AC}"/>
    <hyperlink ref="C33" r:id="rId79" display="mailto:stef-heinrich@web.de" xr:uid="{D2C0B1F3-1CE4-4B48-8D4D-6F611CDE238E}"/>
    <hyperlink ref="C34" r:id="rId80" display="mailto:marion.koenig@holzbau-trier.com" xr:uid="{738D0C7C-BB35-40A7-9979-F605A2E00089}"/>
    <hyperlink ref="C35" r:id="rId81" display="mailto:meindl12@t-online.de" xr:uid="{EB22CF00-C2EE-4C25-8AF3-54DDACCF745C}"/>
    <hyperlink ref="C36" r:id="rId82" display="mailto:faber@freiburger-buchhalter.com" xr:uid="{2FBCFDFA-5CF3-471D-908C-8E9E69B9B7B2}"/>
    <hyperlink ref="C37" r:id="rId83" display="mailto:angel-roman@gmx.de" xr:uid="{971F8371-408C-4085-869C-AF695383E1B2}"/>
    <hyperlink ref="C38" r:id="rId84" display="mailto:canderslemkens@aol.com" xr:uid="{ADA5C493-93E6-442C-A9BB-A2178BC6C465}"/>
    <hyperlink ref="C39" r:id="rId85" display="mailto:biggi.hess@t-online.de" xr:uid="{E16E71C4-D260-46A8-A58D-32617762934F}"/>
    <hyperlink ref="C40" r:id="rId86" display="mailto:sabinec@arcor.de" xr:uid="{38C1E8C7-810C-4888-8168-F0A26D1C609E}"/>
    <hyperlink ref="C41" r:id="rId87" display="mailto:anjakuehn1981@live.de" xr:uid="{27C12AF7-D163-4962-BC8B-0839273C625E}"/>
    <hyperlink ref="C42" r:id="rId88" display="mailto:saschafrank83@gmx.de" xr:uid="{6DBD8E65-4606-4361-8338-FC7600B68FD1}"/>
    <hyperlink ref="C43" r:id="rId89" display="mailto:markuspalm@hotmail.de" xr:uid="{51531DF0-4F2D-4E4D-A40A-758B07B23A8D}"/>
    <hyperlink ref="C44" r:id="rId90" display="mailto:u.momberg@web.de" xr:uid="{45B3CBD0-5E95-473F-8C47-1F3A1B3D2CC4}"/>
    <hyperlink ref="C45" r:id="rId91" display="mailto:Schaub-Diersburg@t-online.de" xr:uid="{589DB462-C75C-4D25-8785-6CA8C5AA3E23}"/>
    <hyperlink ref="C46" r:id="rId92" display="mailto:brenntano88@gmail.com" xr:uid="{25BD8C2B-ECC2-456B-A023-CC7C88EEBEB3}"/>
    <hyperlink ref="C47" r:id="rId93" display="mailto:Kirsten.Funck@web.de" xr:uid="{5C6B8444-1BBA-40A3-910A-4ADA2500942E}"/>
    <hyperlink ref="C48" r:id="rId94" display="mailto:alwin_steiner@gmx.de" xr:uid="{04C66DDB-F1CE-4ADC-8FC7-EE6930D2AFE8}"/>
    <hyperlink ref="C49" r:id="rId95" display="mailto:to.m@me.com" xr:uid="{DB6D7D21-80FD-4F55-80F6-7F23EA0D694F}"/>
    <hyperlink ref="C50" r:id="rId96" display="mailto:tabatha.braun@gmx.ch" xr:uid="{559E2263-B77E-4041-823D-006F8C40758A}"/>
    <hyperlink ref="C51" r:id="rId97" display="mailto:Arielle071@web.de" xr:uid="{D3E88D5F-EF22-4129-B5FF-9E8864BE2C2A}"/>
    <hyperlink ref="C52" r:id="rId98" display="mailto:tonygalli@gmx.de" xr:uid="{BDE9A95F-B7BE-4A4F-98D7-419EEB88C1A8}"/>
    <hyperlink ref="C53" r:id="rId99" display="mailto:doro.mertin@gmx.de" xr:uid="{4A188F7F-EB8C-4140-955C-D9E99BA56A86}"/>
    <hyperlink ref="C54" r:id="rId100" display="mailto:charlotte.pascoletti@gmail.com" xr:uid="{C20D9DFF-6A87-42CC-BE5E-F76980EE7937}"/>
    <hyperlink ref="C55" r:id="rId101" display="mailto:nicole.kuss@stadt.graz.at" xr:uid="{19FFECA4-B8B3-4005-B891-375C13DE722B}"/>
    <hyperlink ref="C56" r:id="rId102" display="mailto:bonny10878@gmx.de" xr:uid="{A377D635-6DB1-4816-AB23-D817E719E0ED}"/>
    <hyperlink ref="C57" r:id="rId103" display="mailto:charlotte.pascoletti@gmail.com" xr:uid="{FCAB37DB-27AC-47AE-B67D-793E5D8B1D02}"/>
    <hyperlink ref="C58" r:id="rId104" display="mailto:michael.boller@hartmann-werkzeugmarkt.de" xr:uid="{23129D9A-F47D-45B8-8C68-9A6010DFB6AC}"/>
    <hyperlink ref="C59" r:id="rId105" display="mailto:ralphschindler@gmx.de" xr:uid="{589C668F-E69C-494E-AE56-D549C4323E3C}"/>
    <hyperlink ref="C60" r:id="rId106" display="mailto:monika.kluger@unitybox.de" xr:uid="{F9AD21F4-32E6-4FEA-92A8-5EA2B237F13B}"/>
    <hyperlink ref="C61" r:id="rId107" display="mailto:j.petra@t-online.de" xr:uid="{F0D3696A-72F7-49EB-A088-02DC72FE8EB7}"/>
    <hyperlink ref="C62" r:id="rId108" display="mailto:m.schulli@web.de" xr:uid="{1AFDC4D3-FEDC-47B2-8EAC-B7518563FE82}"/>
    <hyperlink ref="C63" r:id="rId109" display="mailto:jochen.schmitt1974@gmail.com" xr:uid="{7EFF76BB-224B-4320-AE0E-2507D212A91C}"/>
    <hyperlink ref="C64" r:id="rId110" display="mailto:star_moon4@hotmail.com" xr:uid="{5EE32DE4-E84E-462E-957C-C6AF850232BB}"/>
    <hyperlink ref="C65" r:id="rId111" display="mailto:f.hain@gmx.de" xr:uid="{1594FC96-5306-4B68-A2E9-72CB70C8C228}"/>
    <hyperlink ref="C66" r:id="rId112" display="mailto:silviavielhauer@airconv.de" xr:uid="{DF67A540-7063-443C-B0C6-DC52C32E48B0}"/>
    <hyperlink ref="C67" r:id="rId113" display="mailto:Arne.Kirchner@ahag-bochum.de" xr:uid="{4EB205D5-EEE1-4B52-BDB4-CD60AEABCF6C}"/>
    <hyperlink ref="C68" r:id="rId114" display="mailto:monika-herzig@bluewin.ch" xr:uid="{9B9018FB-078D-48FC-A3C3-3A28F7A7B03A}"/>
    <hyperlink ref="C69" r:id="rId115" display="mailto:sandra.thillmann@gmail.com" xr:uid="{06F80057-997A-46CA-8EDD-E6A1BE7F6C27}"/>
    <hyperlink ref="C70" r:id="rId116" display="mailto:NikoWalter49@yahoo.de" xr:uid="{39F7B961-29F0-4873-B6C0-E26C89F522AC}"/>
    <hyperlink ref="C71" r:id="rId117" display="mailto:lotharemmerling@kabelmail.de" xr:uid="{4183F4EC-FFBA-4930-8902-E69F83EC0820}"/>
    <hyperlink ref="C72" r:id="rId118" display="mailto:isabel.boecking@gmx.de" xr:uid="{75DB597A-5FB5-45A6-8785-11CDB03ED64F}"/>
    <hyperlink ref="C73" r:id="rId119" display="mailto:anja.teppler@t-online.de" xr:uid="{79375FFB-FF02-4EB6-B7E6-E64FB60872FC}"/>
    <hyperlink ref="C74" r:id="rId120" display="mailto:katrin.fahr@googlemail.com" xr:uid="{BD904765-F3B9-44AC-BE97-8A986AF722F4}"/>
    <hyperlink ref="C75" r:id="rId121" display="mailto:michaelamandt@yahoo.de" xr:uid="{7C2E1564-82D8-47A5-A626-752A3C0E1EE8}"/>
    <hyperlink ref="C76" r:id="rId122" display="mailto:robinschmidtke@gmx.de" xr:uid="{E5515B1B-DAA7-4533-9015-8E3C1F449ED7}"/>
    <hyperlink ref="C77" r:id="rId123" display="mailto:gruenewald.balu@t-online.de" xr:uid="{596C8C13-4AAC-41D2-B568-C5623070F76F}"/>
    <hyperlink ref="C78" r:id="rId124" display="mailto:michael@ib-burkhart.de" xr:uid="{CBBE91EC-0512-41F8-AC7C-77E87145B63A}"/>
    <hyperlink ref="C79" r:id="rId125" display="mailto:anette.kaeser@yahoo.com" xr:uid="{440E9E37-1B4B-4EFA-A3C9-452A98584303}"/>
    <hyperlink ref="C80" r:id="rId126" display="mailto:gabiundriva@t-online.de" xr:uid="{41FBBDCC-6D39-423D-804D-D43424A3265F}"/>
    <hyperlink ref="C81" r:id="rId127" display="mailto:fanuto@t-online.de" xr:uid="{C1697983-ACB8-4E11-952C-27BA20EB1DBB}"/>
    <hyperlink ref="C82" r:id="rId128" display="mailto:info@dogschool.de" xr:uid="{69B44AFC-8254-4AC2-BB19-D1CC2411E975}"/>
    <hyperlink ref="A51" r:id="rId129" xr:uid="{EEB05893-001F-4450-8F6B-D45DA7F5010F}"/>
    <hyperlink ref="A52" r:id="rId130" display="mailto:xexaxa@gmx.net?subject=Ihre%20Anfrage%20über%20hunde-urlaub.net" xr:uid="{393DDFE4-5810-446A-84D7-B76A715FCC8E}"/>
    <hyperlink ref="A53" r:id="rId131" display="mailto:Brigitte.vw@bluewin.ch" xr:uid="{AF5419FE-D00C-45CF-A01F-DE2F4F4B9DDC}"/>
    <hyperlink ref="A54" r:id="rId132" xr:uid="{5715D691-565E-481F-AEF7-1E062A33E904}"/>
    <hyperlink ref="A55" r:id="rId133" display="mailto:brigi212@gmail.com" xr:uid="{4279E45D-9243-45D6-B32D-12C579F3B83C}"/>
    <hyperlink ref="A56" r:id="rId134" display="mailto:Kati01111980@gmx.de" xr:uid="{B926F1E2-4FAB-4DD2-8518-D8D4693031CA}"/>
    <hyperlink ref="A57" r:id="rId135" xr:uid="{6AA62B0A-7584-44DB-ABE7-E22E4140EBBB}"/>
    <hyperlink ref="A58" r:id="rId136" display="mailto:steffi.kruppa@arcor.de" xr:uid="{3366C43F-FF91-49C0-8309-9561D7818BB3}"/>
    <hyperlink ref="A59" r:id="rId137" display="mailto:inken_weiss@web.de" xr:uid="{03EBFD2F-46F4-448D-B3E8-49C584D0585A}"/>
    <hyperlink ref="A60" r:id="rId138" display="mailto:wpg58@web.de" xr:uid="{BB42A10C-596A-4E29-A671-70DDD55E88A9}"/>
    <hyperlink ref="A62" r:id="rId139" xr:uid="{872C549B-704F-4DD8-B30A-84601B512CA7}"/>
    <hyperlink ref="A63" r:id="rId140" display="mailto:rbodenhausen@gmx.de" xr:uid="{A92CDBDF-EE29-4DD4-92C8-2AD5DC434C7A}"/>
    <hyperlink ref="A64" r:id="rId141" xr:uid="{98CCEDB0-FAE1-441E-B5BB-C2F5CA084FDE}"/>
    <hyperlink ref="A65" r:id="rId142" xr:uid="{39C9B4DB-BCD0-46B9-9781-B8721175D132}"/>
    <hyperlink ref="A66" r:id="rId143" display="mailto:Kinski-anais@web.de" xr:uid="{48E909B2-2DF9-40CC-9A97-BAEF1FAAE884}"/>
    <hyperlink ref="A67" r:id="rId144" display="mailto:carola.klaiber@gmail.com" xr:uid="{F692C8EB-7030-4527-A04D-243A695D5BD8}"/>
    <hyperlink ref="A68" r:id="rId145" display="mailto:kerstin@barcelona4u.com" xr:uid="{CEEDC4CC-FAD3-4C56-B8C3-4840A2367B3E}"/>
    <hyperlink ref="A69" r:id="rId146" xr:uid="{15BC9777-F5E2-4AB6-8681-8225FE4A79F4}"/>
    <hyperlink ref="A70" r:id="rId147" display="mailto:carola.klaiber@gmail.com" xr:uid="{61008581-3886-4C5D-90AF-ED0AFAB49296}"/>
    <hyperlink ref="A71" r:id="rId148" xr:uid="{446F1AAF-0076-4030-A7BF-64AFE9C9CC09}"/>
    <hyperlink ref="A72" r:id="rId149" xr:uid="{7BE77586-EDF7-4984-8B9E-5E020A85744C}"/>
    <hyperlink ref="A73" r:id="rId150" xr:uid="{92FF75C9-4811-4CA2-9D49-CD1215C30F0E}"/>
    <hyperlink ref="A74" r:id="rId151" display="mailto:andre.katja@googlemail.com" xr:uid="{18201012-ECF4-48D7-9614-236C48CFCE68}"/>
    <hyperlink ref="A75" r:id="rId152" xr:uid="{4D3BE9DE-B2CD-4CAD-9063-080F60DAED9A}"/>
    <hyperlink ref="A76" r:id="rId153" xr:uid="{C04D212C-518B-4E47-A844-A212FDC902A8}"/>
    <hyperlink ref="A77" r:id="rId154" xr:uid="{5AA9E65C-3AB0-4904-AC89-B8ABFDDE47AC}"/>
    <hyperlink ref="A78" r:id="rId155" xr:uid="{1FB9153D-0D84-46ED-9B78-7FCCD90380ED}"/>
    <hyperlink ref="A79" r:id="rId156" display="mailto:rakato-arndt@t-online.de" xr:uid="{EF5C7CB7-02A1-4B17-80CE-EB64F2AF328B}"/>
    <hyperlink ref="A80" r:id="rId157" xr:uid="{ADCAB01C-4D60-41A9-BC47-EB3D4ACB4530}"/>
    <hyperlink ref="A81" r:id="rId158" xr:uid="{91C14608-D93C-4E4A-A45E-54A5BB89563F}"/>
    <hyperlink ref="C83" r:id="rId159" display="mailto:vivi-andy@gmx.de" xr:uid="{C1F5B7F8-209F-4FD1-86C6-6F789853271C}"/>
    <hyperlink ref="C84" r:id="rId160" display="mailto:Kobras@gmx.net" xr:uid="{D3F5AC53-D295-4943-9826-4ADA610ADC56}"/>
    <hyperlink ref="C85" r:id="rId161" display="mailto:Trebels@aol.com" xr:uid="{2DC43830-EF40-4EC7-846E-B9FC56C9D7B7}"/>
    <hyperlink ref="C86" r:id="rId162" display="mailto:jeannette.hadam@googlemail.com" xr:uid="{4D162D67-0872-4A83-A572-2C708822EBFA}"/>
    <hyperlink ref="C87" r:id="rId163" display="mailto:uli_walzik@hotmail.de" xr:uid="{93851121-92AF-42FD-B826-EAD4E8E576E2}"/>
    <hyperlink ref="A82" r:id="rId164" xr:uid="{1070597F-4E77-47AD-B4C4-6385C35F640D}"/>
    <hyperlink ref="A83" r:id="rId165" xr:uid="{0ED2A36B-BDBA-40C9-BBE7-AA339F87D73F}"/>
    <hyperlink ref="A84" r:id="rId166" display="mailto:t.kutzner@t-online.de" xr:uid="{6F402227-BA6B-498D-9910-854E95F950A8}"/>
    <hyperlink ref="C88" r:id="rId167" display="mailto:bruellheidi@gmx.net" xr:uid="{8F7A6FC5-390E-4573-9749-FF510F0A4558}"/>
    <hyperlink ref="A85" r:id="rId168" xr:uid="{C304C85D-1C43-49F0-878B-2322ADBD0F21}"/>
    <hyperlink ref="A86" r:id="rId169" display="mailto:hillemacher@t-online.de" xr:uid="{593DEE0F-4BAB-4C33-B150-9CD6B20B0BC0}"/>
    <hyperlink ref="A87" r:id="rId170" display="mailto:regula456@gmail.com" xr:uid="{C1F51BD7-A29C-4900-B360-012732CA16B5}"/>
    <hyperlink ref="A88" r:id="rId171" display="mailto:fredie1850@gmail.com" xr:uid="{D35158FB-B652-47F1-AB5E-E16A22FFB89D}"/>
  </hyperlinks>
  <pageMargins left="0.7" right="0.7" top="0.75" bottom="0.75" header="0.3" footer="0.3"/>
  <pageSetup paperSize="9" orientation="portrait" verticalDpi="0" r:id="rId17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0D195-710E-4007-9063-BA1F059ADDE0}">
  <dimension ref="A1:AI342"/>
  <sheetViews>
    <sheetView zoomScale="90" zoomScaleNormal="90" workbookViewId="0">
      <pane ySplit="1" topLeftCell="A280" activePane="bottomLeft" state="frozen"/>
      <selection activeCell="E577" activeCellId="1" sqref="N556 E577"/>
      <selection pane="bottomLeft" activeCell="N325" sqref="N325"/>
    </sheetView>
  </sheetViews>
  <sheetFormatPr baseColWidth="10" defaultRowHeight="10.199999999999999"/>
  <cols>
    <col min="1" max="1" width="12.109375" style="8" customWidth="1"/>
    <col min="2" max="2" width="14.44140625" style="8" customWidth="1"/>
    <col min="3" max="3" width="9" style="8" customWidth="1"/>
    <col min="4" max="4" width="15.21875" style="8" customWidth="1"/>
    <col min="5" max="5" width="19.109375" style="8" customWidth="1"/>
    <col min="6" max="6" width="13.33203125" style="8" hidden="1" customWidth="1"/>
    <col min="7" max="7" width="8.88671875" style="8" customWidth="1"/>
    <col min="8" max="8" width="13.21875" style="8" customWidth="1"/>
    <col min="9" max="9" width="10.6640625" style="8" customWidth="1"/>
    <col min="10" max="10" width="4.44140625" style="8" customWidth="1"/>
    <col min="11" max="11" width="12.21875" style="8" hidden="1" customWidth="1"/>
    <col min="12" max="12" width="18.109375" style="8" customWidth="1"/>
    <col min="13" max="13" width="31.5546875" style="8" hidden="1" customWidth="1"/>
    <col min="14" max="14" width="25.6640625" style="8" customWidth="1"/>
    <col min="15" max="15" width="8.77734375" style="8" customWidth="1"/>
    <col min="16" max="16" width="16.88671875" style="8" hidden="1" customWidth="1"/>
    <col min="17" max="17" width="15" style="8" customWidth="1"/>
    <col min="18" max="18" width="7.44140625" style="439" customWidth="1"/>
    <col min="19" max="19" width="7.88671875" style="8" customWidth="1"/>
    <col min="20" max="20" width="6.44140625" style="8" customWidth="1"/>
    <col min="21" max="21" width="17.5546875" style="8" customWidth="1"/>
    <col min="22" max="22" width="10.77734375" style="31" customWidth="1"/>
    <col min="23" max="24" width="11.5546875" style="8"/>
    <col min="25" max="25" width="16.5546875" style="439" bestFit="1" customWidth="1"/>
    <col min="26" max="26" width="17.77734375" style="439" bestFit="1" customWidth="1"/>
    <col min="27" max="27" width="17.6640625" style="8" bestFit="1" customWidth="1"/>
    <col min="28" max="16384" width="11.5546875" style="8"/>
  </cols>
  <sheetData>
    <row r="1" spans="1:26">
      <c r="A1" s="7" t="s">
        <v>0</v>
      </c>
      <c r="B1" s="7" t="s">
        <v>1</v>
      </c>
      <c r="C1" s="29" t="s">
        <v>370</v>
      </c>
      <c r="D1" s="29" t="s">
        <v>371</v>
      </c>
      <c r="E1" s="7" t="s">
        <v>2</v>
      </c>
      <c r="F1" s="7" t="s">
        <v>3</v>
      </c>
      <c r="G1" s="133" t="s">
        <v>4</v>
      </c>
      <c r="H1" s="8" t="s">
        <v>16</v>
      </c>
      <c r="I1" s="7" t="s">
        <v>5</v>
      </c>
      <c r="J1" s="7" t="s">
        <v>6</v>
      </c>
      <c r="K1" s="7" t="s">
        <v>7</v>
      </c>
      <c r="L1" s="7" t="s">
        <v>21</v>
      </c>
      <c r="M1" s="7" t="s">
        <v>8</v>
      </c>
      <c r="N1" s="7" t="s">
        <v>9</v>
      </c>
      <c r="O1" s="7" t="s">
        <v>418</v>
      </c>
      <c r="P1" s="7" t="s">
        <v>38</v>
      </c>
      <c r="Q1" s="8" t="s">
        <v>67</v>
      </c>
      <c r="R1" s="439" t="s">
        <v>417</v>
      </c>
      <c r="S1" s="133" t="s">
        <v>416</v>
      </c>
      <c r="T1" s="133" t="s">
        <v>105</v>
      </c>
      <c r="U1" s="7" t="s">
        <v>231</v>
      </c>
      <c r="V1" s="31" t="s">
        <v>836</v>
      </c>
      <c r="W1" s="8" t="s">
        <v>835</v>
      </c>
      <c r="X1" s="8" t="s">
        <v>869</v>
      </c>
      <c r="Y1" s="439" t="s">
        <v>5104</v>
      </c>
    </row>
    <row r="2" spans="1:26">
      <c r="A2" s="9" t="s">
        <v>2184</v>
      </c>
      <c r="B2" s="856"/>
      <c r="C2" s="856"/>
      <c r="D2" s="856"/>
      <c r="E2" s="856"/>
      <c r="F2" s="856"/>
      <c r="G2" s="857"/>
      <c r="H2" s="856"/>
      <c r="I2" s="856"/>
      <c r="J2" s="856"/>
      <c r="K2" s="856"/>
      <c r="L2" s="856"/>
      <c r="M2" s="856"/>
      <c r="N2" s="856"/>
      <c r="O2" s="856"/>
      <c r="P2" s="856"/>
      <c r="Q2" s="856"/>
      <c r="R2" s="858"/>
      <c r="S2" s="857"/>
      <c r="T2" s="857"/>
      <c r="U2" s="858"/>
      <c r="V2" s="1541"/>
      <c r="W2" s="856"/>
      <c r="X2" s="856"/>
    </row>
    <row r="3" spans="1:26">
      <c r="B3" s="7"/>
      <c r="C3" s="31"/>
      <c r="D3" s="31"/>
      <c r="G3" s="132"/>
      <c r="N3" s="49"/>
      <c r="O3" s="12"/>
      <c r="S3" s="132"/>
      <c r="T3" s="132"/>
      <c r="U3" s="85"/>
    </row>
    <row r="4" spans="1:26" s="115" customFormat="1">
      <c r="A4" s="115" t="s">
        <v>2185</v>
      </c>
      <c r="B4" s="115" t="s">
        <v>2186</v>
      </c>
      <c r="C4" s="116">
        <v>43652</v>
      </c>
      <c r="D4" s="116">
        <v>43666</v>
      </c>
      <c r="E4" s="115" t="s">
        <v>2187</v>
      </c>
      <c r="G4" s="361" t="s">
        <v>2188</v>
      </c>
      <c r="H4" s="115" t="s">
        <v>2189</v>
      </c>
      <c r="I4" s="115" t="s">
        <v>18</v>
      </c>
      <c r="J4" s="115" t="s">
        <v>51</v>
      </c>
      <c r="L4" s="115" t="s">
        <v>2190</v>
      </c>
      <c r="N4" s="128" t="s">
        <v>2191</v>
      </c>
      <c r="O4" s="118">
        <f>1590+1990</f>
        <v>3580</v>
      </c>
      <c r="R4" s="1486">
        <v>2</v>
      </c>
      <c r="S4" s="361">
        <v>3</v>
      </c>
      <c r="T4" s="361">
        <v>1</v>
      </c>
      <c r="U4" s="119">
        <v>895</v>
      </c>
      <c r="V4" s="116">
        <v>43467</v>
      </c>
      <c r="W4" s="120" t="s">
        <v>1769</v>
      </c>
      <c r="X4" s="115" t="s">
        <v>1154</v>
      </c>
      <c r="Y4" s="1486"/>
      <c r="Z4" s="1486"/>
    </row>
    <row r="5" spans="1:26" s="115" customFormat="1">
      <c r="A5" s="115" t="s">
        <v>2207</v>
      </c>
      <c r="B5" s="115" t="s">
        <v>2208</v>
      </c>
      <c r="C5" s="116">
        <v>43666</v>
      </c>
      <c r="D5" s="116">
        <v>43680</v>
      </c>
      <c r="E5" s="115" t="s">
        <v>2209</v>
      </c>
      <c r="G5" s="361"/>
      <c r="I5" s="115" t="s">
        <v>18</v>
      </c>
      <c r="J5" s="115" t="s">
        <v>51</v>
      </c>
      <c r="L5" s="115" t="s">
        <v>2210</v>
      </c>
      <c r="N5" s="128" t="s">
        <v>2211</v>
      </c>
      <c r="O5" s="118">
        <f>1990*2</f>
        <v>3980</v>
      </c>
      <c r="R5" s="1486">
        <v>2</v>
      </c>
      <c r="S5" s="361" t="s">
        <v>2212</v>
      </c>
      <c r="T5" s="361">
        <v>1</v>
      </c>
      <c r="U5" s="119">
        <v>995</v>
      </c>
      <c r="V5" s="116">
        <v>43492</v>
      </c>
      <c r="W5" s="115" t="s">
        <v>1477</v>
      </c>
      <c r="X5" s="115" t="s">
        <v>1154</v>
      </c>
      <c r="Y5" s="1486"/>
      <c r="Z5" s="1486"/>
    </row>
    <row r="6" spans="1:26" s="355" customFormat="1">
      <c r="A6" s="355" t="s">
        <v>2340</v>
      </c>
      <c r="B6" s="355" t="s">
        <v>1938</v>
      </c>
      <c r="C6" s="357">
        <v>43680</v>
      </c>
      <c r="D6" s="357">
        <v>43694</v>
      </c>
      <c r="E6" s="355" t="s">
        <v>2341</v>
      </c>
      <c r="G6" s="358"/>
      <c r="H6" s="934"/>
      <c r="I6" s="355" t="s">
        <v>18</v>
      </c>
      <c r="J6" s="355" t="s">
        <v>51</v>
      </c>
      <c r="K6" s="368"/>
      <c r="L6" s="368" t="s">
        <v>2342</v>
      </c>
      <c r="N6" s="365" t="s">
        <v>2343</v>
      </c>
      <c r="O6" s="359">
        <v>3200</v>
      </c>
      <c r="R6" s="1487">
        <v>2</v>
      </c>
      <c r="S6" s="358" t="s">
        <v>2344</v>
      </c>
      <c r="T6" s="358">
        <v>2</v>
      </c>
      <c r="U6" s="417">
        <v>0</v>
      </c>
      <c r="V6" s="357">
        <v>43671</v>
      </c>
      <c r="Y6" s="1487"/>
      <c r="Z6" s="1487"/>
    </row>
    <row r="7" spans="1:26" s="115" customFormat="1">
      <c r="A7" s="115" t="s">
        <v>2312</v>
      </c>
      <c r="B7" s="115" t="s">
        <v>2313</v>
      </c>
      <c r="C7" s="116">
        <v>43708</v>
      </c>
      <c r="D7" s="116">
        <v>43719</v>
      </c>
      <c r="E7" s="115" t="s">
        <v>2314</v>
      </c>
      <c r="G7" s="361">
        <v>13467</v>
      </c>
      <c r="H7" s="935" t="s">
        <v>239</v>
      </c>
      <c r="I7" s="115" t="s">
        <v>18</v>
      </c>
      <c r="J7" s="115" t="s">
        <v>51</v>
      </c>
      <c r="K7" s="124"/>
      <c r="L7" s="124">
        <v>4915170062209</v>
      </c>
      <c r="N7" s="128" t="s">
        <v>2315</v>
      </c>
      <c r="O7" s="118">
        <v>2384</v>
      </c>
      <c r="R7" s="1486">
        <v>1.5</v>
      </c>
      <c r="S7" s="361">
        <v>4</v>
      </c>
      <c r="T7" s="361">
        <v>2</v>
      </c>
      <c r="U7" s="129">
        <v>596</v>
      </c>
      <c r="V7" s="116">
        <v>43622</v>
      </c>
      <c r="W7" s="115" t="s">
        <v>2316</v>
      </c>
      <c r="X7" s="115" t="s">
        <v>1217</v>
      </c>
      <c r="Y7" s="1486"/>
      <c r="Z7" s="1486"/>
    </row>
    <row r="8" spans="1:26" s="115" customFormat="1">
      <c r="A8" s="115" t="s">
        <v>2319</v>
      </c>
      <c r="B8" s="115" t="s">
        <v>2320</v>
      </c>
      <c r="C8" s="116">
        <v>43719</v>
      </c>
      <c r="D8" s="116">
        <v>43736</v>
      </c>
      <c r="E8" s="115" t="s">
        <v>2321</v>
      </c>
      <c r="G8" s="361" t="s">
        <v>2322</v>
      </c>
      <c r="H8" s="115" t="s">
        <v>2323</v>
      </c>
      <c r="I8" s="115" t="s">
        <v>18</v>
      </c>
      <c r="J8" s="115" t="s">
        <v>51</v>
      </c>
      <c r="K8" s="124" t="s">
        <v>2325</v>
      </c>
      <c r="L8" s="124" t="s">
        <v>2324</v>
      </c>
      <c r="N8" s="363" t="s">
        <v>2326</v>
      </c>
      <c r="O8" s="118">
        <v>2980</v>
      </c>
      <c r="R8" s="1486">
        <v>2.5</v>
      </c>
      <c r="S8" s="361">
        <v>2</v>
      </c>
      <c r="T8" s="361">
        <v>2</v>
      </c>
      <c r="U8" s="129"/>
      <c r="V8" s="116"/>
      <c r="Y8" s="1486"/>
      <c r="Z8" s="1486"/>
    </row>
    <row r="9" spans="1:26" s="392" customFormat="1">
      <c r="A9" s="392" t="s">
        <v>2295</v>
      </c>
      <c r="B9" s="392" t="s">
        <v>102</v>
      </c>
      <c r="C9" s="393">
        <v>43722</v>
      </c>
      <c r="D9" s="393">
        <v>43736</v>
      </c>
      <c r="F9" s="936" t="s">
        <v>2297</v>
      </c>
      <c r="G9" s="394" t="s">
        <v>2298</v>
      </c>
      <c r="H9" s="936" t="s">
        <v>2299</v>
      </c>
      <c r="I9" s="392" t="s">
        <v>18</v>
      </c>
      <c r="J9" s="392" t="s">
        <v>51</v>
      </c>
      <c r="K9" s="396"/>
      <c r="L9" s="936" t="s">
        <v>2300</v>
      </c>
      <c r="N9" s="397" t="s">
        <v>2296</v>
      </c>
      <c r="O9" s="398"/>
      <c r="R9" s="1488"/>
      <c r="S9" s="394">
        <v>2</v>
      </c>
      <c r="T9" s="394">
        <v>1</v>
      </c>
      <c r="U9" s="399"/>
      <c r="V9" s="393">
        <v>43580</v>
      </c>
      <c r="W9" s="392" t="s">
        <v>1477</v>
      </c>
      <c r="X9" s="392" t="s">
        <v>1154</v>
      </c>
      <c r="Y9" s="1488"/>
      <c r="Z9" s="1488"/>
    </row>
    <row r="10" spans="1:26" s="355" customFormat="1">
      <c r="A10" s="355" t="s">
        <v>2347</v>
      </c>
      <c r="B10" s="355" t="s">
        <v>2348</v>
      </c>
      <c r="C10" s="357">
        <v>43736</v>
      </c>
      <c r="D10" s="357">
        <v>43750</v>
      </c>
      <c r="E10" s="355" t="s">
        <v>2349</v>
      </c>
      <c r="F10" s="367"/>
      <c r="G10" s="358"/>
      <c r="H10" s="934"/>
      <c r="I10" s="355" t="s">
        <v>18</v>
      </c>
      <c r="J10" s="355" t="s">
        <v>51</v>
      </c>
      <c r="K10" s="368" t="s">
        <v>2351</v>
      </c>
      <c r="L10" s="368" t="s">
        <v>2350</v>
      </c>
      <c r="N10" s="365" t="s">
        <v>2352</v>
      </c>
      <c r="O10" s="359">
        <f>990+890</f>
        <v>1880</v>
      </c>
      <c r="R10" s="1487">
        <v>2</v>
      </c>
      <c r="S10" s="358">
        <v>2</v>
      </c>
      <c r="T10" s="358">
        <v>1</v>
      </c>
      <c r="U10" s="356" t="s">
        <v>2353</v>
      </c>
      <c r="V10" s="357">
        <v>43681</v>
      </c>
      <c r="W10" s="355" t="s">
        <v>1477</v>
      </c>
      <c r="X10" s="355" t="s">
        <v>1154</v>
      </c>
      <c r="Y10" s="1487"/>
      <c r="Z10" s="1487"/>
    </row>
    <row r="11" spans="1:26" s="115" customFormat="1">
      <c r="A11" s="115" t="s">
        <v>2365</v>
      </c>
      <c r="B11" s="115" t="s">
        <v>2366</v>
      </c>
      <c r="C11" s="116">
        <v>43750</v>
      </c>
      <c r="D11" s="116">
        <v>43764</v>
      </c>
      <c r="E11" s="115" t="s">
        <v>2367</v>
      </c>
      <c r="G11" s="361" t="s">
        <v>2368</v>
      </c>
      <c r="H11" s="115" t="s">
        <v>2369</v>
      </c>
      <c r="I11" s="115" t="s">
        <v>18</v>
      </c>
      <c r="J11" s="115" t="s">
        <v>51</v>
      </c>
      <c r="L11" s="124" t="s">
        <v>2370</v>
      </c>
      <c r="N11" s="128" t="s">
        <v>2371</v>
      </c>
      <c r="O11" s="118">
        <f>790*2</f>
        <v>1580</v>
      </c>
      <c r="R11" s="1486">
        <v>2</v>
      </c>
      <c r="S11" s="361">
        <v>3</v>
      </c>
      <c r="T11" s="361">
        <v>2</v>
      </c>
      <c r="U11" s="129">
        <f>O11/4</f>
        <v>395</v>
      </c>
      <c r="V11" s="116">
        <v>43722</v>
      </c>
      <c r="W11" s="115" t="s">
        <v>1477</v>
      </c>
      <c r="X11" s="115" t="s">
        <v>1154</v>
      </c>
      <c r="Y11" s="1486"/>
      <c r="Z11" s="1486"/>
    </row>
    <row r="12" spans="1:26" s="115" customFormat="1">
      <c r="A12" s="115" t="s">
        <v>2397</v>
      </c>
      <c r="B12" s="115" t="s">
        <v>396</v>
      </c>
      <c r="C12" s="116">
        <v>43817</v>
      </c>
      <c r="D12" s="116">
        <v>43827</v>
      </c>
      <c r="E12" s="115" t="s">
        <v>2398</v>
      </c>
      <c r="G12" s="361" t="s">
        <v>2399</v>
      </c>
      <c r="H12" s="115" t="s">
        <v>2400</v>
      </c>
      <c r="I12" s="115" t="s">
        <v>1775</v>
      </c>
      <c r="J12" s="115" t="s">
        <v>1023</v>
      </c>
      <c r="L12" s="124" t="s">
        <v>2401</v>
      </c>
      <c r="N12" s="128" t="s">
        <v>2402</v>
      </c>
      <c r="O12" s="118">
        <v>1785</v>
      </c>
      <c r="R12" s="1486">
        <v>1.5</v>
      </c>
      <c r="S12" s="361">
        <v>2</v>
      </c>
      <c r="T12" s="361">
        <v>1</v>
      </c>
      <c r="U12" s="129">
        <v>446.25</v>
      </c>
      <c r="V12" s="116">
        <v>43801</v>
      </c>
      <c r="W12" s="115" t="s">
        <v>1477</v>
      </c>
      <c r="X12" s="115" t="s">
        <v>1154</v>
      </c>
      <c r="Y12" s="1486"/>
      <c r="Z12" s="1486"/>
    </row>
    <row r="13" spans="1:26" s="115" customFormat="1">
      <c r="A13" s="115" t="s">
        <v>2373</v>
      </c>
      <c r="B13" s="115" t="s">
        <v>2374</v>
      </c>
      <c r="C13" s="116">
        <v>43827</v>
      </c>
      <c r="D13" s="116">
        <v>43834</v>
      </c>
      <c r="E13" s="115" t="s">
        <v>2375</v>
      </c>
      <c r="G13" s="361">
        <v>4060</v>
      </c>
      <c r="H13" s="115" t="s">
        <v>2376</v>
      </c>
      <c r="I13" s="115" t="s">
        <v>1775</v>
      </c>
      <c r="J13" s="115" t="s">
        <v>51</v>
      </c>
      <c r="L13" s="124" t="s">
        <v>2377</v>
      </c>
      <c r="N13" s="128" t="s">
        <v>2378</v>
      </c>
      <c r="O13" s="118">
        <v>1190</v>
      </c>
      <c r="R13" s="1486">
        <v>1</v>
      </c>
      <c r="S13" s="361">
        <v>2</v>
      </c>
      <c r="T13" s="361">
        <v>1</v>
      </c>
      <c r="U13" s="129">
        <v>297.5</v>
      </c>
      <c r="V13" s="116">
        <v>43746</v>
      </c>
      <c r="W13" s="115" t="s">
        <v>1477</v>
      </c>
      <c r="X13" s="115" t="s">
        <v>1154</v>
      </c>
      <c r="Y13" s="1486"/>
      <c r="Z13" s="1486"/>
    </row>
    <row r="14" spans="1:26">
      <c r="C14" s="31"/>
      <c r="D14" s="31"/>
      <c r="G14" s="132"/>
      <c r="N14" s="49"/>
      <c r="O14" s="12"/>
      <c r="Q14" s="457"/>
      <c r="S14" s="132"/>
      <c r="T14" s="132"/>
      <c r="U14" s="85"/>
    </row>
    <row r="15" spans="1:26" ht="10.8" thickBot="1">
      <c r="A15" s="439"/>
      <c r="G15" s="132"/>
      <c r="H15" s="495"/>
      <c r="Q15" s="457"/>
      <c r="S15" s="132"/>
      <c r="T15" s="132"/>
    </row>
    <row r="16" spans="1:26" ht="10.8" thickBot="1">
      <c r="A16" s="18" t="s">
        <v>2015</v>
      </c>
      <c r="B16" s="767">
        <f>SUM(O3:O14)</f>
        <v>22559</v>
      </c>
      <c r="C16" s="826">
        <v>1</v>
      </c>
      <c r="D16" s="791" t="s">
        <v>574</v>
      </c>
      <c r="E16" s="782"/>
      <c r="F16" s="7"/>
      <c r="G16" s="133"/>
      <c r="H16" s="49"/>
      <c r="I16" s="7"/>
      <c r="J16" s="7"/>
      <c r="K16" s="7"/>
      <c r="L16" s="864"/>
      <c r="M16" s="7"/>
      <c r="N16" s="7"/>
      <c r="O16" s="773"/>
      <c r="P16" s="7"/>
      <c r="Q16" s="457"/>
      <c r="S16" s="133"/>
      <c r="T16" s="133"/>
      <c r="U16" s="74"/>
    </row>
    <row r="17" spans="1:26" ht="10.8" thickBot="1">
      <c r="A17" s="768" t="s">
        <v>463</v>
      </c>
      <c r="B17" s="827">
        <f>SUM(R3:R15)</f>
        <v>16.5</v>
      </c>
      <c r="C17" s="783">
        <f>B16/B17</f>
        <v>1367.2121212121212</v>
      </c>
      <c r="D17" s="17" t="s">
        <v>575</v>
      </c>
      <c r="E17" s="13"/>
      <c r="F17" s="7"/>
      <c r="G17" s="133"/>
      <c r="I17" s="7"/>
      <c r="J17" s="7"/>
      <c r="K17" s="404"/>
      <c r="M17" s="7"/>
      <c r="O17" s="773"/>
      <c r="P17" s="7"/>
      <c r="Q17" s="457"/>
      <c r="S17" s="133"/>
      <c r="T17" s="133"/>
      <c r="U17" s="74"/>
    </row>
    <row r="18" spans="1:26" ht="10.8" thickBot="1">
      <c r="A18" s="7"/>
      <c r="B18" s="7"/>
      <c r="C18" s="29"/>
      <c r="D18" s="17" t="s">
        <v>576</v>
      </c>
      <c r="E18" s="13"/>
      <c r="F18" s="7"/>
      <c r="G18" s="133"/>
      <c r="H18" s="495"/>
      <c r="I18" s="7"/>
      <c r="J18" s="7"/>
      <c r="K18" s="404"/>
      <c r="L18" s="495"/>
      <c r="M18" s="7"/>
      <c r="O18" s="773"/>
      <c r="P18" s="7"/>
      <c r="Q18" s="457"/>
      <c r="S18" s="133"/>
      <c r="T18" s="133"/>
      <c r="U18" s="7"/>
    </row>
    <row r="19" spans="1:26" ht="10.8" thickBot="1">
      <c r="A19" s="18" t="s">
        <v>464</v>
      </c>
      <c r="B19" s="851">
        <f>(1788.54+225.66)*12</f>
        <v>24170.400000000001</v>
      </c>
      <c r="C19" s="29"/>
      <c r="D19" s="17" t="s">
        <v>1304</v>
      </c>
      <c r="E19" s="13"/>
      <c r="F19" s="7"/>
      <c r="G19" s="133"/>
      <c r="H19" s="495"/>
      <c r="I19" s="7"/>
      <c r="J19" s="7"/>
      <c r="K19" s="404"/>
      <c r="L19" s="404"/>
      <c r="M19" s="7"/>
      <c r="O19" s="439"/>
      <c r="P19" s="7"/>
      <c r="Q19" s="457"/>
      <c r="S19" s="133"/>
      <c r="T19" s="133"/>
      <c r="U19" s="7"/>
    </row>
    <row r="20" spans="1:26" ht="10.8" thickBot="1">
      <c r="A20" s="852" t="s">
        <v>574</v>
      </c>
      <c r="B20" s="853">
        <f>E22</f>
        <v>0</v>
      </c>
      <c r="C20" s="29"/>
      <c r="D20" s="17" t="s">
        <v>577</v>
      </c>
      <c r="E20" s="13"/>
      <c r="F20" s="7"/>
      <c r="G20" s="133"/>
      <c r="H20" s="495"/>
      <c r="I20" s="7"/>
      <c r="J20" s="7"/>
      <c r="K20" s="49"/>
      <c r="L20" s="49"/>
      <c r="M20" s="7"/>
      <c r="N20" s="1111"/>
      <c r="O20" s="773"/>
      <c r="P20" s="7"/>
      <c r="S20" s="133"/>
      <c r="T20" s="133"/>
      <c r="U20" s="7"/>
    </row>
    <row r="21" spans="1:26" ht="10.8" thickBot="1">
      <c r="A21" s="510" t="s">
        <v>1534</v>
      </c>
      <c r="B21" s="854">
        <f>B16-B19-B20</f>
        <v>-1611.4000000000015</v>
      </c>
      <c r="C21" s="29"/>
      <c r="D21" s="786" t="s">
        <v>578</v>
      </c>
      <c r="E21" s="541"/>
      <c r="F21" s="7"/>
      <c r="G21" s="133"/>
      <c r="H21" s="495"/>
      <c r="I21" s="7"/>
      <c r="J21" s="7"/>
      <c r="M21" s="7"/>
      <c r="N21" s="7"/>
      <c r="O21" s="773"/>
      <c r="P21" s="7"/>
      <c r="S21" s="133"/>
      <c r="T21" s="133"/>
      <c r="U21" s="7"/>
    </row>
    <row r="26" spans="1:26">
      <c r="A26" s="7"/>
      <c r="B26" s="7"/>
      <c r="C26" s="29"/>
      <c r="D26" s="29"/>
      <c r="E26" s="7"/>
      <c r="F26" s="7"/>
      <c r="G26" s="133"/>
      <c r="I26" s="7"/>
      <c r="J26" s="7"/>
      <c r="K26" s="7"/>
      <c r="L26" s="7"/>
      <c r="M26" s="7"/>
      <c r="N26" s="7"/>
      <c r="O26" s="7"/>
      <c r="P26" s="7"/>
      <c r="S26" s="133"/>
      <c r="T26" s="133"/>
      <c r="U26" s="7"/>
    </row>
    <row r="27" spans="1:26">
      <c r="A27" s="9" t="s">
        <v>2346</v>
      </c>
      <c r="B27" s="856"/>
      <c r="C27" s="856"/>
      <c r="D27" s="856"/>
      <c r="E27" s="856"/>
      <c r="F27" s="856"/>
      <c r="G27" s="857"/>
      <c r="H27" s="856"/>
      <c r="I27" s="856"/>
      <c r="J27" s="856"/>
      <c r="K27" s="856"/>
      <c r="L27" s="856"/>
      <c r="M27" s="856"/>
      <c r="N27" s="856"/>
      <c r="O27" s="856"/>
      <c r="P27" s="856"/>
      <c r="Q27" s="856"/>
      <c r="R27" s="858"/>
      <c r="S27" s="857"/>
      <c r="T27" s="857"/>
      <c r="U27" s="858"/>
      <c r="V27" s="1541"/>
      <c r="W27" s="856"/>
      <c r="X27" s="856"/>
    </row>
    <row r="28" spans="1:26" s="699" customFormat="1">
      <c r="A28" s="699" t="s">
        <v>2537</v>
      </c>
      <c r="B28" s="699" t="s">
        <v>2538</v>
      </c>
      <c r="C28" s="700">
        <v>44139</v>
      </c>
      <c r="D28" s="700">
        <v>43932</v>
      </c>
      <c r="E28" s="699" t="s">
        <v>2539</v>
      </c>
      <c r="F28" s="702"/>
      <c r="G28" s="701">
        <v>93250</v>
      </c>
      <c r="H28" s="699" t="s">
        <v>2540</v>
      </c>
      <c r="I28" s="699" t="s">
        <v>23</v>
      </c>
      <c r="J28" s="699" t="s">
        <v>19</v>
      </c>
      <c r="L28" s="703" t="s">
        <v>2541</v>
      </c>
      <c r="N28" s="1112" t="s">
        <v>2542</v>
      </c>
      <c r="O28" s="704"/>
      <c r="Q28" s="699" t="s">
        <v>2543</v>
      </c>
      <c r="R28" s="1489"/>
      <c r="S28" s="701">
        <v>5</v>
      </c>
      <c r="T28" s="701">
        <v>1</v>
      </c>
      <c r="U28" s="705">
        <v>223</v>
      </c>
      <c r="V28" s="700">
        <v>43900</v>
      </c>
      <c r="W28" s="699" t="s">
        <v>2544</v>
      </c>
      <c r="X28" s="699" t="s">
        <v>1154</v>
      </c>
      <c r="Y28" s="1489" t="s">
        <v>2548</v>
      </c>
      <c r="Z28" s="1489"/>
    </row>
    <row r="29" spans="1:26" s="699" customFormat="1">
      <c r="A29" s="699" t="s">
        <v>2489</v>
      </c>
      <c r="B29" s="699" t="s">
        <v>2488</v>
      </c>
      <c r="C29" s="700">
        <v>43932</v>
      </c>
      <c r="D29" s="700">
        <v>43939</v>
      </c>
      <c r="E29" s="699" t="s">
        <v>2490</v>
      </c>
      <c r="F29" s="1113"/>
      <c r="G29" s="701" t="s">
        <v>2491</v>
      </c>
      <c r="H29" s="937" t="s">
        <v>2492</v>
      </c>
      <c r="I29" s="699" t="s">
        <v>18</v>
      </c>
      <c r="J29" s="699" t="s">
        <v>1023</v>
      </c>
      <c r="L29" s="703" t="s">
        <v>2493</v>
      </c>
      <c r="N29" s="875" t="s">
        <v>2494</v>
      </c>
      <c r="P29" s="699" t="s">
        <v>1244</v>
      </c>
      <c r="Q29" s="704">
        <v>890</v>
      </c>
      <c r="R29" s="1489"/>
      <c r="S29" s="701">
        <v>4</v>
      </c>
      <c r="T29" s="701">
        <v>1</v>
      </c>
      <c r="U29" s="705">
        <v>222.5</v>
      </c>
      <c r="V29" s="700">
        <v>43863</v>
      </c>
      <c r="W29" s="699" t="s">
        <v>1477</v>
      </c>
      <c r="X29" s="699" t="s">
        <v>1154</v>
      </c>
      <c r="Y29" s="1489" t="s">
        <v>2559</v>
      </c>
      <c r="Z29" s="1489"/>
    </row>
    <row r="30" spans="1:26">
      <c r="C30" s="31"/>
      <c r="D30" s="31"/>
      <c r="F30" s="404"/>
      <c r="G30" s="132"/>
      <c r="H30" s="495"/>
      <c r="L30" s="15"/>
      <c r="N30" s="1103"/>
      <c r="O30" s="684"/>
      <c r="S30" s="132"/>
      <c r="T30" s="132"/>
      <c r="U30" s="686"/>
    </row>
    <row r="31" spans="1:26" s="699" customFormat="1">
      <c r="A31" s="699" t="s">
        <v>2529</v>
      </c>
      <c r="B31" s="699" t="s">
        <v>2530</v>
      </c>
      <c r="C31" s="700">
        <v>43960</v>
      </c>
      <c r="D31" s="700">
        <v>43974</v>
      </c>
      <c r="E31" s="699" t="s">
        <v>2531</v>
      </c>
      <c r="G31" s="701" t="s">
        <v>2532</v>
      </c>
      <c r="H31" s="699" t="s">
        <v>2533</v>
      </c>
      <c r="I31" s="702" t="s">
        <v>18</v>
      </c>
      <c r="J31" s="699" t="s">
        <v>1023</v>
      </c>
      <c r="K31" s="699" t="s">
        <v>2535</v>
      </c>
      <c r="L31" s="703" t="s">
        <v>2534</v>
      </c>
      <c r="N31" s="875" t="s">
        <v>2536</v>
      </c>
      <c r="O31" s="704"/>
      <c r="Q31" s="699" t="s">
        <v>2564</v>
      </c>
      <c r="R31" s="1489"/>
      <c r="S31" s="701">
        <v>2</v>
      </c>
      <c r="T31" s="701">
        <v>1</v>
      </c>
      <c r="U31" s="708">
        <v>412.5</v>
      </c>
      <c r="V31" s="700">
        <v>43884</v>
      </c>
      <c r="X31" s="699" t="s">
        <v>1217</v>
      </c>
      <c r="Y31" s="1489" t="s">
        <v>2553</v>
      </c>
      <c r="Z31" s="1489"/>
    </row>
    <row r="32" spans="1:26" s="115" customFormat="1">
      <c r="A32" s="115" t="s">
        <v>2386</v>
      </c>
      <c r="B32" s="115" t="s">
        <v>2387</v>
      </c>
      <c r="C32" s="116">
        <v>43974</v>
      </c>
      <c r="D32" s="116">
        <v>43981</v>
      </c>
      <c r="E32" s="115" t="s">
        <v>2388</v>
      </c>
      <c r="F32" s="364"/>
      <c r="G32" s="361" t="s">
        <v>2389</v>
      </c>
      <c r="H32" s="935" t="s">
        <v>2390</v>
      </c>
      <c r="I32" s="115" t="s">
        <v>168</v>
      </c>
      <c r="J32" s="115" t="s">
        <v>19</v>
      </c>
      <c r="L32" s="124" t="s">
        <v>2391</v>
      </c>
      <c r="N32" s="128" t="s">
        <v>2392</v>
      </c>
      <c r="O32" s="118"/>
      <c r="Q32" s="115" t="s">
        <v>2587</v>
      </c>
      <c r="R32" s="1486"/>
      <c r="S32" s="361">
        <v>3</v>
      </c>
      <c r="T32" s="361">
        <v>2</v>
      </c>
      <c r="U32" s="119">
        <v>297.5</v>
      </c>
      <c r="V32" s="116">
        <v>44137</v>
      </c>
      <c r="W32" s="115" t="s">
        <v>1477</v>
      </c>
      <c r="X32" s="115" t="s">
        <v>1154</v>
      </c>
      <c r="Y32" s="1486" t="s">
        <v>2549</v>
      </c>
      <c r="Z32" s="1486"/>
    </row>
    <row r="33" spans="1:26" s="498" customFormat="1">
      <c r="A33" s="498" t="s">
        <v>2518</v>
      </c>
      <c r="B33" s="498" t="s">
        <v>2517</v>
      </c>
      <c r="C33" s="499">
        <v>43988</v>
      </c>
      <c r="D33" s="499">
        <v>43995</v>
      </c>
      <c r="E33" s="498" t="s">
        <v>2519</v>
      </c>
      <c r="F33" s="980"/>
      <c r="G33" s="500" t="s">
        <v>2520</v>
      </c>
      <c r="H33" s="938" t="s">
        <v>2521</v>
      </c>
      <c r="I33" s="498" t="s">
        <v>36</v>
      </c>
      <c r="J33" s="498" t="s">
        <v>19</v>
      </c>
      <c r="K33" s="498" t="s">
        <v>2523</v>
      </c>
      <c r="L33" s="688" t="s">
        <v>2522</v>
      </c>
      <c r="N33" s="868" t="s">
        <v>2524</v>
      </c>
      <c r="O33" s="502"/>
      <c r="Q33" s="498" t="s">
        <v>2588</v>
      </c>
      <c r="R33" s="1490"/>
      <c r="S33" s="500">
        <v>2</v>
      </c>
      <c r="T33" s="500">
        <v>1</v>
      </c>
      <c r="U33" s="670">
        <v>400</v>
      </c>
      <c r="V33" s="499">
        <v>43864</v>
      </c>
      <c r="W33" s="498" t="s">
        <v>1477</v>
      </c>
      <c r="X33" s="498" t="s">
        <v>1154</v>
      </c>
      <c r="Y33" s="1490" t="s">
        <v>2552</v>
      </c>
      <c r="Z33" s="1490"/>
    </row>
    <row r="35" spans="1:26" s="115" customFormat="1">
      <c r="A35" s="115" t="s">
        <v>2433</v>
      </c>
      <c r="B35" s="115" t="s">
        <v>538</v>
      </c>
      <c r="C35" s="116">
        <v>44016</v>
      </c>
      <c r="D35" s="116">
        <v>44033</v>
      </c>
      <c r="E35" s="115" t="s">
        <v>2434</v>
      </c>
      <c r="G35" s="361" t="s">
        <v>2435</v>
      </c>
      <c r="H35" s="115" t="s">
        <v>2436</v>
      </c>
      <c r="I35" s="115" t="s">
        <v>168</v>
      </c>
      <c r="J35" s="115" t="s">
        <v>1023</v>
      </c>
      <c r="L35" s="124" t="s">
        <v>2437</v>
      </c>
      <c r="N35" s="128" t="s">
        <v>2438</v>
      </c>
      <c r="O35" s="118">
        <f>1990*2.5</f>
        <v>4975</v>
      </c>
      <c r="P35" s="115" t="s">
        <v>1401</v>
      </c>
      <c r="Q35" s="115" t="s">
        <v>2439</v>
      </c>
      <c r="R35" s="1486">
        <v>2.5</v>
      </c>
      <c r="S35" s="361">
        <v>4</v>
      </c>
      <c r="T35" s="361">
        <v>1</v>
      </c>
      <c r="U35" s="129">
        <v>4975</v>
      </c>
      <c r="V35" s="116">
        <v>43833</v>
      </c>
      <c r="W35" s="115" t="s">
        <v>1338</v>
      </c>
      <c r="X35" s="115" t="s">
        <v>1154</v>
      </c>
      <c r="Y35" s="1486"/>
      <c r="Z35" s="1486"/>
    </row>
    <row r="36" spans="1:26" s="115" customFormat="1">
      <c r="A36" s="115" t="s">
        <v>2580</v>
      </c>
      <c r="B36" s="115" t="s">
        <v>528</v>
      </c>
      <c r="C36" s="116">
        <v>44033</v>
      </c>
      <c r="D36" s="116">
        <v>44044</v>
      </c>
      <c r="E36" s="115" t="s">
        <v>2581</v>
      </c>
      <c r="G36" s="361" t="s">
        <v>2582</v>
      </c>
      <c r="H36" s="115" t="s">
        <v>2583</v>
      </c>
      <c r="I36" s="496" t="s">
        <v>18</v>
      </c>
      <c r="J36" s="115" t="s">
        <v>51</v>
      </c>
      <c r="K36" s="115" t="s">
        <v>2585</v>
      </c>
      <c r="L36" s="124" t="s">
        <v>2584</v>
      </c>
      <c r="N36" s="128" t="s">
        <v>2586</v>
      </c>
      <c r="O36" s="118">
        <f>995+1990</f>
        <v>2985</v>
      </c>
      <c r="Q36" s="115" t="s">
        <v>2643</v>
      </c>
      <c r="R36" s="1486">
        <v>2</v>
      </c>
      <c r="S36" s="361"/>
      <c r="T36" s="361">
        <v>2</v>
      </c>
      <c r="U36" s="129">
        <v>746</v>
      </c>
      <c r="V36" s="116"/>
      <c r="Y36" s="1486"/>
      <c r="Z36" s="1486"/>
    </row>
    <row r="37" spans="1:26" s="757" customFormat="1">
      <c r="A37" s="757" t="s">
        <v>2496</v>
      </c>
      <c r="B37" s="757" t="s">
        <v>2495</v>
      </c>
      <c r="C37" s="758">
        <v>44033</v>
      </c>
      <c r="D37" s="758">
        <v>44047</v>
      </c>
      <c r="E37" s="757" t="s">
        <v>2497</v>
      </c>
      <c r="G37" s="759" t="s">
        <v>2498</v>
      </c>
      <c r="H37" s="757" t="s">
        <v>2499</v>
      </c>
      <c r="I37" s="757" t="s">
        <v>18</v>
      </c>
      <c r="J37" s="757" t="s">
        <v>1023</v>
      </c>
      <c r="L37" s="760" t="s">
        <v>2500</v>
      </c>
      <c r="N37" s="897" t="s">
        <v>2501</v>
      </c>
      <c r="O37" s="761">
        <v>495</v>
      </c>
      <c r="P37" s="757">
        <v>4</v>
      </c>
      <c r="Q37" s="757" t="s">
        <v>2502</v>
      </c>
      <c r="R37" s="1491"/>
      <c r="S37" s="759">
        <v>4</v>
      </c>
      <c r="T37" s="759">
        <v>1</v>
      </c>
      <c r="U37" s="762">
        <v>995</v>
      </c>
      <c r="V37" s="758">
        <v>43863</v>
      </c>
      <c r="X37" s="757" t="s">
        <v>1154</v>
      </c>
      <c r="Y37" s="1491" t="s">
        <v>2572</v>
      </c>
      <c r="Z37" s="1491"/>
    </row>
    <row r="38" spans="1:26" s="115" customFormat="1">
      <c r="A38" s="115" t="s">
        <v>2573</v>
      </c>
      <c r="B38" s="115" t="s">
        <v>95</v>
      </c>
      <c r="C38" s="116">
        <v>44044</v>
      </c>
      <c r="D38" s="116">
        <v>44051</v>
      </c>
      <c r="E38" s="115" t="s">
        <v>2574</v>
      </c>
      <c r="G38" s="361">
        <v>77480</v>
      </c>
      <c r="H38" s="115" t="s">
        <v>2575</v>
      </c>
      <c r="I38" s="115" t="s">
        <v>23</v>
      </c>
      <c r="J38" s="115" t="s">
        <v>19</v>
      </c>
      <c r="L38" s="124" t="s">
        <v>2576</v>
      </c>
      <c r="N38" s="128" t="s">
        <v>2577</v>
      </c>
      <c r="O38" s="118">
        <v>1990</v>
      </c>
      <c r="Q38" s="115" t="s">
        <v>2579</v>
      </c>
      <c r="R38" s="1486">
        <v>1</v>
      </c>
      <c r="S38" s="361">
        <v>6</v>
      </c>
      <c r="T38" s="361">
        <v>1</v>
      </c>
      <c r="U38" s="129">
        <v>500</v>
      </c>
      <c r="V38" s="116">
        <v>43977</v>
      </c>
      <c r="X38" s="115" t="s">
        <v>1154</v>
      </c>
      <c r="Y38" s="1486"/>
      <c r="Z38" s="1486"/>
    </row>
    <row r="39" spans="1:26" s="115" customFormat="1">
      <c r="A39" s="115" t="s">
        <v>2480</v>
      </c>
      <c r="B39" s="115" t="s">
        <v>2481</v>
      </c>
      <c r="C39" s="116">
        <v>44051</v>
      </c>
      <c r="D39" s="116">
        <v>44058</v>
      </c>
      <c r="E39" s="115" t="s">
        <v>2482</v>
      </c>
      <c r="G39" s="361" t="s">
        <v>2483</v>
      </c>
      <c r="H39" s="115" t="s">
        <v>2484</v>
      </c>
      <c r="I39" s="115" t="s">
        <v>18</v>
      </c>
      <c r="J39" s="115" t="s">
        <v>1023</v>
      </c>
      <c r="L39" s="124" t="s">
        <v>2485</v>
      </c>
      <c r="N39" s="128" t="s">
        <v>2486</v>
      </c>
      <c r="O39" s="118">
        <v>1990</v>
      </c>
      <c r="Q39" s="115" t="s">
        <v>2487</v>
      </c>
      <c r="R39" s="1486">
        <v>1</v>
      </c>
      <c r="S39" s="361">
        <v>4</v>
      </c>
      <c r="T39" s="361">
        <v>1</v>
      </c>
      <c r="U39" s="129">
        <v>497.5</v>
      </c>
      <c r="V39" s="116"/>
      <c r="Y39" s="1486"/>
      <c r="Z39" s="1486"/>
    </row>
    <row r="40" spans="1:26" s="115" customFormat="1">
      <c r="A40" s="115" t="s">
        <v>2453</v>
      </c>
      <c r="B40" s="115" t="s">
        <v>1772</v>
      </c>
      <c r="C40" s="116">
        <v>44058</v>
      </c>
      <c r="D40" s="116">
        <v>44072</v>
      </c>
      <c r="E40" s="115" t="s">
        <v>2562</v>
      </c>
      <c r="G40" s="361" t="s">
        <v>2560</v>
      </c>
      <c r="H40" s="115" t="s">
        <v>2561</v>
      </c>
      <c r="I40" s="115" t="s">
        <v>168</v>
      </c>
      <c r="J40" s="115" t="s">
        <v>51</v>
      </c>
      <c r="L40" s="124" t="s">
        <v>2455</v>
      </c>
      <c r="N40" s="128" t="s">
        <v>2454</v>
      </c>
      <c r="O40" s="118">
        <f>1990*2+70</f>
        <v>4050</v>
      </c>
      <c r="Q40" s="115" t="s">
        <v>1500</v>
      </c>
      <c r="R40" s="1486">
        <v>2</v>
      </c>
      <c r="S40" s="361">
        <v>2</v>
      </c>
      <c r="T40" s="361">
        <v>1</v>
      </c>
      <c r="U40" s="129">
        <v>613</v>
      </c>
      <c r="V40" s="116">
        <v>43842</v>
      </c>
      <c r="W40" s="115" t="s">
        <v>1477</v>
      </c>
      <c r="X40" s="115" t="s">
        <v>1154</v>
      </c>
      <c r="Y40" s="1486" t="s">
        <v>2563</v>
      </c>
      <c r="Z40" s="1486"/>
    </row>
    <row r="41" spans="1:26" s="115" customFormat="1">
      <c r="A41" s="115" t="s">
        <v>2504</v>
      </c>
      <c r="B41" s="115" t="s">
        <v>2503</v>
      </c>
      <c r="C41" s="116">
        <v>44072</v>
      </c>
      <c r="D41" s="116">
        <v>44079</v>
      </c>
      <c r="E41" s="115" t="s">
        <v>2505</v>
      </c>
      <c r="G41" s="361" t="s">
        <v>2506</v>
      </c>
      <c r="H41" s="115" t="s">
        <v>2507</v>
      </c>
      <c r="I41" s="496" t="s">
        <v>1674</v>
      </c>
      <c r="J41" s="115" t="s">
        <v>51</v>
      </c>
      <c r="L41" s="124" t="s">
        <v>2508</v>
      </c>
      <c r="N41" s="128" t="s">
        <v>2509</v>
      </c>
      <c r="O41" s="118">
        <v>1990</v>
      </c>
      <c r="P41" s="115" t="s">
        <v>2510</v>
      </c>
      <c r="Q41" s="115" t="s">
        <v>2424</v>
      </c>
      <c r="R41" s="1486">
        <v>1</v>
      </c>
      <c r="S41" s="361" t="s">
        <v>2511</v>
      </c>
      <c r="T41" s="361">
        <v>1</v>
      </c>
      <c r="U41" s="129">
        <v>500</v>
      </c>
      <c r="V41" s="116">
        <v>43863</v>
      </c>
      <c r="Y41" s="1486"/>
      <c r="Z41" s="1486"/>
    </row>
    <row r="42" spans="1:26" s="115" customFormat="1">
      <c r="A42" s="115" t="s">
        <v>2457</v>
      </c>
      <c r="B42" s="115" t="s">
        <v>2456</v>
      </c>
      <c r="C42" s="116">
        <v>44079</v>
      </c>
      <c r="D42" s="116">
        <v>44093</v>
      </c>
      <c r="E42" s="115" t="s">
        <v>2458</v>
      </c>
      <c r="G42" s="361" t="s">
        <v>2459</v>
      </c>
      <c r="H42" s="115" t="s">
        <v>2460</v>
      </c>
      <c r="I42" s="115" t="s">
        <v>18</v>
      </c>
      <c r="J42" s="115" t="s">
        <v>19</v>
      </c>
      <c r="K42" s="115" t="s">
        <v>2462</v>
      </c>
      <c r="L42" s="124" t="s">
        <v>2461</v>
      </c>
      <c r="N42" s="128"/>
      <c r="O42" s="118">
        <f>1590*2</f>
        <v>3180</v>
      </c>
      <c r="Q42" s="115" t="s">
        <v>2464</v>
      </c>
      <c r="R42" s="1486">
        <v>2</v>
      </c>
      <c r="S42" s="361">
        <v>2</v>
      </c>
      <c r="T42" s="361">
        <v>1</v>
      </c>
      <c r="U42" s="129">
        <v>795</v>
      </c>
      <c r="V42" s="116">
        <v>43844</v>
      </c>
      <c r="W42" s="115" t="s">
        <v>1477</v>
      </c>
      <c r="X42" s="115" t="s">
        <v>1154</v>
      </c>
      <c r="Y42" s="1486"/>
      <c r="Z42" s="1486"/>
    </row>
    <row r="43" spans="1:26" s="115" customFormat="1">
      <c r="A43" s="115" t="s">
        <v>2672</v>
      </c>
      <c r="B43" s="115" t="s">
        <v>2671</v>
      </c>
      <c r="C43" s="116">
        <v>44093</v>
      </c>
      <c r="D43" s="116">
        <v>44107</v>
      </c>
      <c r="E43" s="115" t="s">
        <v>2667</v>
      </c>
      <c r="G43" s="361" t="s">
        <v>2669</v>
      </c>
      <c r="H43" s="115" t="s">
        <v>2668</v>
      </c>
      <c r="I43" s="115" t="s">
        <v>18</v>
      </c>
      <c r="J43" s="115" t="s">
        <v>51</v>
      </c>
      <c r="L43" s="124" t="s">
        <v>2670</v>
      </c>
      <c r="N43" s="128" t="s">
        <v>2673</v>
      </c>
      <c r="O43" s="118">
        <f>1290*2</f>
        <v>2580</v>
      </c>
      <c r="Q43" s="115" t="s">
        <v>2674</v>
      </c>
      <c r="R43" s="1486">
        <v>2</v>
      </c>
      <c r="S43" s="361">
        <v>2</v>
      </c>
      <c r="T43" s="361">
        <v>1</v>
      </c>
      <c r="U43" s="129">
        <v>645</v>
      </c>
      <c r="V43" s="116">
        <v>44039</v>
      </c>
      <c r="W43" s="115" t="s">
        <v>1477</v>
      </c>
      <c r="X43" s="115" t="s">
        <v>1154</v>
      </c>
      <c r="Y43" s="1486"/>
      <c r="Z43" s="1486"/>
    </row>
    <row r="44" spans="1:26">
      <c r="C44" s="31"/>
      <c r="D44" s="31"/>
      <c r="G44" s="132"/>
      <c r="L44" s="15"/>
      <c r="N44" s="1103"/>
      <c r="O44" s="684"/>
      <c r="S44" s="132"/>
      <c r="T44" s="132"/>
      <c r="U44" s="916"/>
    </row>
    <row r="45" spans="1:26" s="689" customFormat="1">
      <c r="A45" s="689" t="s">
        <v>2637</v>
      </c>
      <c r="B45" s="689" t="s">
        <v>2644</v>
      </c>
      <c r="C45" s="690">
        <v>44114</v>
      </c>
      <c r="D45" s="690">
        <v>44121</v>
      </c>
      <c r="E45" s="689" t="s">
        <v>2638</v>
      </c>
      <c r="G45" s="691" t="s">
        <v>2639</v>
      </c>
      <c r="H45" s="689" t="s">
        <v>2640</v>
      </c>
      <c r="I45" s="689" t="s">
        <v>18</v>
      </c>
      <c r="J45" s="689" t="s">
        <v>51</v>
      </c>
      <c r="L45" s="693" t="s">
        <v>2641</v>
      </c>
      <c r="N45" s="874" t="s">
        <v>2642</v>
      </c>
      <c r="O45" s="694">
        <v>0</v>
      </c>
      <c r="Q45" s="689" t="s">
        <v>2706</v>
      </c>
      <c r="R45" s="1492">
        <v>0</v>
      </c>
      <c r="S45" s="691">
        <v>4</v>
      </c>
      <c r="T45" s="691">
        <v>1</v>
      </c>
      <c r="U45" s="697">
        <v>354</v>
      </c>
      <c r="V45" s="690">
        <v>44026</v>
      </c>
      <c r="W45" s="689" t="s">
        <v>1477</v>
      </c>
      <c r="X45" s="689" t="s">
        <v>1154</v>
      </c>
      <c r="Y45" s="1492"/>
      <c r="Z45" s="1492"/>
    </row>
    <row r="46" spans="1:26" s="689" customFormat="1">
      <c r="A46" s="689" t="s">
        <v>2652</v>
      </c>
      <c r="B46" s="689" t="s">
        <v>2653</v>
      </c>
      <c r="C46" s="690">
        <v>44121</v>
      </c>
      <c r="D46" s="690">
        <v>44128</v>
      </c>
      <c r="E46" s="689" t="s">
        <v>2654</v>
      </c>
      <c r="G46" s="691" t="s">
        <v>2655</v>
      </c>
      <c r="H46" s="689" t="s">
        <v>2656</v>
      </c>
      <c r="I46" s="689" t="s">
        <v>18</v>
      </c>
      <c r="J46" s="689" t="s">
        <v>51</v>
      </c>
      <c r="L46" s="693" t="s">
        <v>2657</v>
      </c>
      <c r="N46" s="874" t="s">
        <v>2658</v>
      </c>
      <c r="O46" s="694"/>
      <c r="Q46" s="689" t="s">
        <v>2752</v>
      </c>
      <c r="R46" s="1492">
        <v>0</v>
      </c>
      <c r="S46" s="691">
        <v>4</v>
      </c>
      <c r="T46" s="691">
        <v>1</v>
      </c>
      <c r="U46" s="697">
        <v>250</v>
      </c>
      <c r="V46" s="690">
        <v>44037</v>
      </c>
      <c r="W46" s="689" t="s">
        <v>1477</v>
      </c>
      <c r="X46" s="689" t="s">
        <v>1154</v>
      </c>
      <c r="Y46" s="1492"/>
      <c r="Z46" s="1492"/>
    </row>
    <row r="48" spans="1:26" s="115" customFormat="1">
      <c r="A48" s="115" t="s">
        <v>2802</v>
      </c>
      <c r="B48" s="115" t="s">
        <v>2803</v>
      </c>
      <c r="C48" s="116">
        <v>44194</v>
      </c>
      <c r="D48" s="116">
        <v>44197</v>
      </c>
      <c r="E48" s="115" t="s">
        <v>2804</v>
      </c>
      <c r="G48" s="361">
        <v>29150</v>
      </c>
      <c r="H48" s="115" t="s">
        <v>2805</v>
      </c>
      <c r="I48" s="115" t="s">
        <v>23</v>
      </c>
      <c r="J48" s="115" t="s">
        <v>19</v>
      </c>
      <c r="L48" s="115" t="s">
        <v>2806</v>
      </c>
      <c r="N48" s="128" t="s">
        <v>2807</v>
      </c>
      <c r="O48" s="118">
        <v>800</v>
      </c>
      <c r="Q48" s="115" t="s">
        <v>2808</v>
      </c>
      <c r="R48" s="1486">
        <v>1</v>
      </c>
      <c r="S48" s="361">
        <v>5</v>
      </c>
      <c r="T48" s="361">
        <v>0</v>
      </c>
      <c r="U48" s="119">
        <v>0</v>
      </c>
      <c r="V48" s="116">
        <v>44181</v>
      </c>
      <c r="W48" s="115" t="s">
        <v>1543</v>
      </c>
      <c r="X48" s="115" t="s">
        <v>1154</v>
      </c>
      <c r="Y48" s="1486"/>
      <c r="Z48" s="1486"/>
    </row>
    <row r="49" spans="1:26" ht="10.8" thickBot="1">
      <c r="G49" s="132"/>
      <c r="H49" s="495"/>
      <c r="O49" s="457"/>
      <c r="S49" s="132"/>
      <c r="T49" s="132"/>
    </row>
    <row r="50" spans="1:26" ht="10.8" thickBot="1">
      <c r="A50" s="18" t="s">
        <v>2241</v>
      </c>
      <c r="B50" s="767">
        <f>SUM(O28:O48)</f>
        <v>25035</v>
      </c>
      <c r="C50" s="933">
        <f>B50/B16</f>
        <v>1.1097566381488542</v>
      </c>
      <c r="D50" s="791" t="s">
        <v>574</v>
      </c>
      <c r="E50" s="782"/>
      <c r="F50" s="7"/>
      <c r="G50" s="133"/>
      <c r="H50" s="49"/>
      <c r="I50" s="7"/>
      <c r="K50" s="7"/>
      <c r="L50" s="864"/>
      <c r="M50" s="7"/>
      <c r="N50" s="7"/>
      <c r="O50" s="773"/>
      <c r="P50" s="7"/>
      <c r="S50" s="133"/>
      <c r="T50" s="133">
        <f>O36-U36</f>
        <v>2239</v>
      </c>
      <c r="U50" s="74"/>
    </row>
    <row r="51" spans="1:26" ht="10.8" thickBot="1">
      <c r="A51" s="768" t="s">
        <v>463</v>
      </c>
      <c r="B51" s="827">
        <f>SUM(R28:R49)</f>
        <v>14.5</v>
      </c>
      <c r="C51" s="783">
        <f>B50/B51</f>
        <v>1726.5517241379309</v>
      </c>
      <c r="D51" s="17" t="s">
        <v>575</v>
      </c>
      <c r="E51" s="13"/>
      <c r="F51" s="7"/>
      <c r="G51" s="133"/>
      <c r="I51" s="7"/>
      <c r="K51" s="404"/>
      <c r="M51" s="7"/>
      <c r="O51" s="773"/>
      <c r="P51" s="7"/>
      <c r="S51" s="133"/>
      <c r="T51" s="133"/>
      <c r="U51" s="74"/>
    </row>
    <row r="52" spans="1:26" ht="10.8" thickBot="1">
      <c r="A52" s="7"/>
      <c r="B52" s="7"/>
      <c r="C52" s="29"/>
      <c r="D52" s="17" t="s">
        <v>576</v>
      </c>
      <c r="E52" s="13"/>
      <c r="F52" s="7"/>
      <c r="G52" s="133"/>
      <c r="H52" s="495"/>
      <c r="I52" s="7"/>
      <c r="J52" s="457"/>
      <c r="K52" s="404"/>
      <c r="L52" s="495"/>
      <c r="M52" s="7"/>
      <c r="O52" s="773"/>
      <c r="P52" s="7"/>
      <c r="S52" s="133"/>
      <c r="T52" s="133"/>
      <c r="U52" s="7"/>
    </row>
    <row r="53" spans="1:26" ht="10.8" thickBot="1">
      <c r="A53" s="18" t="s">
        <v>464</v>
      </c>
      <c r="B53" s="851">
        <f>(1788.54+225.66)*12</f>
        <v>24170.400000000001</v>
      </c>
      <c r="C53" s="29"/>
      <c r="D53" s="17" t="s">
        <v>1304</v>
      </c>
      <c r="E53" s="13"/>
      <c r="F53" s="7"/>
      <c r="G53" s="133"/>
      <c r="H53" s="495"/>
      <c r="I53" s="7"/>
      <c r="J53" s="7"/>
      <c r="K53" s="404"/>
      <c r="L53" s="404"/>
      <c r="M53" s="7"/>
      <c r="O53" s="439"/>
      <c r="P53" s="7"/>
      <c r="S53" s="133"/>
      <c r="T53" s="133"/>
      <c r="U53" s="7"/>
    </row>
    <row r="54" spans="1:26" ht="10.8" thickBot="1">
      <c r="A54" s="852" t="s">
        <v>574</v>
      </c>
      <c r="B54" s="853">
        <f>E56</f>
        <v>0</v>
      </c>
      <c r="C54" s="29"/>
      <c r="D54" s="17" t="s">
        <v>577</v>
      </c>
      <c r="E54" s="13"/>
      <c r="F54" s="7"/>
      <c r="G54" s="133"/>
      <c r="H54" s="495"/>
      <c r="I54" s="7"/>
      <c r="J54" s="7"/>
      <c r="K54" s="49"/>
      <c r="L54" s="49"/>
      <c r="M54" s="7"/>
      <c r="N54" s="1111"/>
      <c r="O54" s="773"/>
      <c r="P54" s="7"/>
      <c r="S54" s="133"/>
      <c r="T54" s="133"/>
      <c r="U54" s="7"/>
    </row>
    <row r="55" spans="1:26" ht="10.8" thickBot="1">
      <c r="A55" s="510" t="s">
        <v>1534</v>
      </c>
      <c r="B55" s="854">
        <f>B50-B53-B54</f>
        <v>864.59999999999854</v>
      </c>
      <c r="C55" s="29"/>
      <c r="D55" s="786" t="s">
        <v>578</v>
      </c>
      <c r="E55" s="541"/>
      <c r="F55" s="7"/>
      <c r="G55" s="133"/>
      <c r="H55" s="495"/>
      <c r="I55" s="7"/>
      <c r="J55" s="7"/>
      <c r="M55" s="7"/>
      <c r="N55" s="7"/>
      <c r="O55" s="773"/>
      <c r="P55" s="7"/>
      <c r="S55" s="133"/>
      <c r="T55" s="133"/>
      <c r="U55" s="7"/>
    </row>
    <row r="57" spans="1:26">
      <c r="O57" s="457"/>
    </row>
    <row r="59" spans="1:26">
      <c r="C59" s="1111"/>
    </row>
    <row r="60" spans="1:26">
      <c r="C60" s="1114"/>
    </row>
    <row r="61" spans="1:26">
      <c r="C61" s="1111"/>
    </row>
    <row r="62" spans="1:26">
      <c r="A62" s="9" t="s">
        <v>2675</v>
      </c>
      <c r="B62" s="856"/>
      <c r="C62" s="1114"/>
      <c r="E62" s="1114"/>
      <c r="G62" s="857"/>
      <c r="H62" s="856"/>
      <c r="I62" s="856"/>
      <c r="J62" s="856"/>
      <c r="K62" s="856"/>
      <c r="L62" s="856"/>
      <c r="M62" s="856"/>
      <c r="N62" s="856"/>
      <c r="O62" s="856"/>
      <c r="P62" s="856"/>
      <c r="Q62" s="856"/>
      <c r="R62" s="858"/>
      <c r="S62" s="857"/>
      <c r="T62" s="857"/>
      <c r="U62" s="858"/>
      <c r="V62" s="1541"/>
      <c r="W62" s="856"/>
      <c r="X62" s="856"/>
    </row>
    <row r="63" spans="1:26" s="355" customFormat="1">
      <c r="A63" s="355" t="s">
        <v>2867</v>
      </c>
      <c r="B63" s="355" t="s">
        <v>2866</v>
      </c>
      <c r="C63" s="357">
        <v>44247</v>
      </c>
      <c r="D63" s="357">
        <v>44254</v>
      </c>
      <c r="E63" s="934" t="s">
        <v>2868</v>
      </c>
      <c r="G63" s="1109">
        <v>92350</v>
      </c>
      <c r="H63" s="355" t="s">
        <v>2869</v>
      </c>
      <c r="I63" s="355" t="s">
        <v>23</v>
      </c>
      <c r="J63" s="355" t="s">
        <v>19</v>
      </c>
      <c r="L63" s="934" t="s">
        <v>2870</v>
      </c>
      <c r="N63" s="365" t="s">
        <v>2871</v>
      </c>
      <c r="O63" s="359">
        <f>790+70</f>
        <v>860</v>
      </c>
      <c r="Q63" s="355" t="s">
        <v>1401</v>
      </c>
      <c r="R63" s="1487">
        <v>1</v>
      </c>
      <c r="S63" s="358">
        <v>4</v>
      </c>
      <c r="T63" s="358">
        <v>0</v>
      </c>
      <c r="U63" s="417"/>
      <c r="V63" s="357">
        <v>44245</v>
      </c>
      <c r="W63" s="355" t="s">
        <v>1592</v>
      </c>
      <c r="X63" s="355" t="s">
        <v>1154</v>
      </c>
      <c r="Y63" s="1487"/>
      <c r="Z63" s="1487"/>
    </row>
    <row r="64" spans="1:26" s="355" customFormat="1">
      <c r="A64" s="355" t="s">
        <v>2878</v>
      </c>
      <c r="B64" s="355" t="s">
        <v>2879</v>
      </c>
      <c r="C64" s="357">
        <v>44254</v>
      </c>
      <c r="D64" s="357">
        <v>44261</v>
      </c>
      <c r="E64" s="934" t="s">
        <v>2880</v>
      </c>
      <c r="G64" s="1109">
        <v>35200</v>
      </c>
      <c r="H64" s="355" t="s">
        <v>2881</v>
      </c>
      <c r="I64" s="355" t="s">
        <v>23</v>
      </c>
      <c r="J64" s="355" t="s">
        <v>19</v>
      </c>
      <c r="L64" s="934" t="s">
        <v>2882</v>
      </c>
      <c r="N64" s="365" t="s">
        <v>2883</v>
      </c>
      <c r="O64" s="359">
        <v>790</v>
      </c>
      <c r="Q64" s="355" t="s">
        <v>1401</v>
      </c>
      <c r="R64" s="1487">
        <v>1</v>
      </c>
      <c r="S64" s="358">
        <v>4</v>
      </c>
      <c r="T64" s="358">
        <v>0</v>
      </c>
      <c r="U64" s="417"/>
      <c r="V64" s="357">
        <v>44250</v>
      </c>
      <c r="W64" s="355" t="s">
        <v>2884</v>
      </c>
      <c r="X64" s="355" t="s">
        <v>1154</v>
      </c>
      <c r="Y64" s="1487"/>
      <c r="Z64" s="1487"/>
    </row>
    <row r="66" spans="1:26" s="946" customFormat="1">
      <c r="A66" s="946" t="s">
        <v>2792</v>
      </c>
      <c r="B66" s="946" t="s">
        <v>2793</v>
      </c>
      <c r="C66" s="947">
        <v>44282</v>
      </c>
      <c r="D66" s="947">
        <v>44289</v>
      </c>
      <c r="E66" s="946" t="s">
        <v>2796</v>
      </c>
      <c r="G66" s="948" t="s">
        <v>2798</v>
      </c>
      <c r="H66" s="946" t="s">
        <v>2797</v>
      </c>
      <c r="I66" s="946" t="s">
        <v>18</v>
      </c>
      <c r="J66" s="946" t="s">
        <v>51</v>
      </c>
      <c r="K66" s="946" t="s">
        <v>2794</v>
      </c>
      <c r="L66" s="949" t="s">
        <v>2799</v>
      </c>
      <c r="N66" s="875" t="s">
        <v>2795</v>
      </c>
      <c r="O66" s="950">
        <v>890</v>
      </c>
      <c r="Q66" s="946" t="s">
        <v>717</v>
      </c>
      <c r="R66" s="1493">
        <v>1</v>
      </c>
      <c r="S66" s="948">
        <v>2</v>
      </c>
      <c r="T66" s="948">
        <v>2</v>
      </c>
      <c r="U66" s="951">
        <v>222.5</v>
      </c>
      <c r="V66" s="947">
        <v>44172</v>
      </c>
      <c r="W66" s="946" t="s">
        <v>1477</v>
      </c>
      <c r="X66" s="946" t="s">
        <v>1154</v>
      </c>
      <c r="Y66" s="1493"/>
      <c r="Z66" s="1493"/>
    </row>
    <row r="67" spans="1:26" s="838" customFormat="1">
      <c r="A67" s="838" t="s">
        <v>2652</v>
      </c>
      <c r="B67" s="838" t="s">
        <v>2653</v>
      </c>
      <c r="C67" s="839">
        <v>44289</v>
      </c>
      <c r="D67" s="839">
        <v>44296</v>
      </c>
      <c r="E67" s="838" t="s">
        <v>2654</v>
      </c>
      <c r="G67" s="840" t="s">
        <v>2655</v>
      </c>
      <c r="H67" s="838" t="s">
        <v>2656</v>
      </c>
      <c r="I67" s="838" t="s">
        <v>18</v>
      </c>
      <c r="J67" s="838" t="s">
        <v>51</v>
      </c>
      <c r="L67" s="841" t="s">
        <v>2657</v>
      </c>
      <c r="N67" s="861" t="s">
        <v>2658</v>
      </c>
      <c r="O67" s="842"/>
      <c r="Q67" s="838" t="s">
        <v>2752</v>
      </c>
      <c r="R67" s="1494">
        <v>0</v>
      </c>
      <c r="S67" s="840">
        <v>4</v>
      </c>
      <c r="T67" s="840">
        <v>1</v>
      </c>
      <c r="U67" s="960">
        <v>250</v>
      </c>
      <c r="V67" s="839">
        <v>44037</v>
      </c>
      <c r="W67" s="838" t="s">
        <v>1477</v>
      </c>
      <c r="X67" s="838" t="s">
        <v>1154</v>
      </c>
      <c r="Y67" s="1494" t="s">
        <v>2897</v>
      </c>
      <c r="Z67" s="1494"/>
    </row>
    <row r="68" spans="1:26" s="408" customFormat="1">
      <c r="A68" s="408" t="s">
        <v>2887</v>
      </c>
      <c r="B68" s="408" t="s">
        <v>2888</v>
      </c>
      <c r="C68" s="409">
        <v>44298</v>
      </c>
      <c r="D68" s="409">
        <v>44310</v>
      </c>
      <c r="G68" s="410"/>
      <c r="I68" s="408" t="s">
        <v>23</v>
      </c>
      <c r="J68" s="408" t="s">
        <v>19</v>
      </c>
      <c r="L68" s="412" t="s">
        <v>2889</v>
      </c>
      <c r="N68" s="953"/>
      <c r="O68" s="414">
        <v>1735.24</v>
      </c>
      <c r="Q68" s="408" t="s">
        <v>2890</v>
      </c>
      <c r="R68" s="1495">
        <v>2</v>
      </c>
      <c r="S68" s="410">
        <v>5</v>
      </c>
      <c r="T68" s="410">
        <v>1</v>
      </c>
      <c r="U68" s="415"/>
      <c r="V68" s="409"/>
      <c r="W68" s="408" t="s">
        <v>2891</v>
      </c>
      <c r="X68" s="408" t="s">
        <v>1154</v>
      </c>
      <c r="Y68" s="1495"/>
      <c r="Z68" s="1495"/>
    </row>
    <row r="72" spans="1:26" s="923" customFormat="1">
      <c r="A72" s="923" t="s">
        <v>2760</v>
      </c>
      <c r="B72" s="923" t="s">
        <v>2761</v>
      </c>
      <c r="C72" s="924">
        <v>44359</v>
      </c>
      <c r="D72" s="924">
        <v>44373</v>
      </c>
      <c r="E72" s="923" t="s">
        <v>2762</v>
      </c>
      <c r="G72" s="925"/>
      <c r="I72" s="923" t="s">
        <v>18</v>
      </c>
      <c r="J72" s="923" t="s">
        <v>51</v>
      </c>
      <c r="L72" s="926" t="s">
        <v>2763</v>
      </c>
      <c r="N72" s="128" t="s">
        <v>2764</v>
      </c>
      <c r="O72" s="927">
        <f>1190+1590</f>
        <v>2780</v>
      </c>
      <c r="Q72" s="923" t="s">
        <v>2674</v>
      </c>
      <c r="R72" s="1496">
        <v>2</v>
      </c>
      <c r="S72" s="925">
        <v>2</v>
      </c>
      <c r="T72" s="925">
        <v>1</v>
      </c>
      <c r="U72" s="928">
        <v>695</v>
      </c>
      <c r="V72" s="924">
        <v>44126</v>
      </c>
      <c r="W72" s="923" t="s">
        <v>1477</v>
      </c>
      <c r="X72" s="923" t="s">
        <v>1154</v>
      </c>
      <c r="Y72" s="1496"/>
      <c r="Z72" s="1496"/>
    </row>
    <row r="73" spans="1:26" s="900" customFormat="1">
      <c r="A73" s="900" t="s">
        <v>2735</v>
      </c>
      <c r="B73" s="900" t="s">
        <v>2736</v>
      </c>
      <c r="C73" s="901">
        <v>43994</v>
      </c>
      <c r="D73" s="901">
        <v>44008</v>
      </c>
      <c r="E73" s="1110" t="s">
        <v>2737</v>
      </c>
      <c r="G73" s="1110" t="s">
        <v>2739</v>
      </c>
      <c r="H73" s="900" t="s">
        <v>2738</v>
      </c>
      <c r="I73" s="900" t="s">
        <v>168</v>
      </c>
      <c r="J73" s="900" t="s">
        <v>1023</v>
      </c>
      <c r="L73" s="1110" t="s">
        <v>2740</v>
      </c>
      <c r="N73" s="903" t="s">
        <v>2741</v>
      </c>
      <c r="O73" s="904"/>
      <c r="Q73" s="900" t="s">
        <v>2759</v>
      </c>
      <c r="R73" s="1497"/>
      <c r="S73" s="902">
        <v>2</v>
      </c>
      <c r="T73" s="902">
        <v>2</v>
      </c>
      <c r="U73" s="930"/>
      <c r="V73" s="901">
        <v>44103</v>
      </c>
      <c r="W73" s="900" t="s">
        <v>1477</v>
      </c>
      <c r="X73" s="900" t="s">
        <v>1154</v>
      </c>
      <c r="Y73" s="1497"/>
      <c r="Z73" s="1497"/>
    </row>
    <row r="74" spans="1:26" s="115" customFormat="1">
      <c r="A74" s="115" t="s">
        <v>2943</v>
      </c>
      <c r="B74" s="115" t="s">
        <v>2944</v>
      </c>
      <c r="C74" s="116">
        <v>44373</v>
      </c>
      <c r="D74" s="116">
        <v>44380</v>
      </c>
      <c r="E74" s="935" t="s">
        <v>2945</v>
      </c>
      <c r="G74" s="935" t="s">
        <v>2946</v>
      </c>
      <c r="H74" s="115" t="s">
        <v>2947</v>
      </c>
      <c r="I74" s="115" t="s">
        <v>18</v>
      </c>
      <c r="J74" s="115" t="s">
        <v>51</v>
      </c>
      <c r="L74" s="935" t="s">
        <v>2948</v>
      </c>
      <c r="N74" s="128" t="s">
        <v>2949</v>
      </c>
      <c r="O74" s="118">
        <v>1662</v>
      </c>
      <c r="Q74" s="115" t="s">
        <v>2961</v>
      </c>
      <c r="R74" s="1486">
        <v>1</v>
      </c>
      <c r="S74" s="361">
        <v>2</v>
      </c>
      <c r="T74" s="361">
        <v>1</v>
      </c>
      <c r="U74" s="129">
        <v>415.5</v>
      </c>
      <c r="V74" s="116"/>
      <c r="W74" s="115" t="s">
        <v>1477</v>
      </c>
      <c r="X74" s="115" t="s">
        <v>1217</v>
      </c>
      <c r="Y74" s="1486"/>
      <c r="Z74" s="1486"/>
    </row>
    <row r="75" spans="1:26" s="355" customFormat="1">
      <c r="A75" s="355" t="s">
        <v>2834</v>
      </c>
      <c r="B75" s="355" t="s">
        <v>264</v>
      </c>
      <c r="C75" s="357">
        <v>44380</v>
      </c>
      <c r="D75" s="357">
        <v>44401</v>
      </c>
      <c r="E75" s="934" t="s">
        <v>2835</v>
      </c>
      <c r="G75" s="934" t="s">
        <v>2836</v>
      </c>
      <c r="H75" s="355" t="s">
        <v>868</v>
      </c>
      <c r="I75" s="355" t="s">
        <v>18</v>
      </c>
      <c r="J75" s="355" t="s">
        <v>51</v>
      </c>
      <c r="K75" s="355" t="s">
        <v>2838</v>
      </c>
      <c r="L75" s="934" t="s">
        <v>2837</v>
      </c>
      <c r="N75" s="365" t="s">
        <v>2839</v>
      </c>
      <c r="O75" s="359">
        <f>2000*3</f>
        <v>6000</v>
      </c>
      <c r="Q75" s="355" t="s">
        <v>2840</v>
      </c>
      <c r="R75" s="1487">
        <v>3</v>
      </c>
      <c r="S75" s="358">
        <v>3</v>
      </c>
      <c r="T75" s="358">
        <v>1</v>
      </c>
      <c r="U75" s="417">
        <v>1492.5</v>
      </c>
      <c r="V75" s="357">
        <v>44206</v>
      </c>
      <c r="W75" s="355" t="s">
        <v>1477</v>
      </c>
      <c r="X75" s="355" t="s">
        <v>1154</v>
      </c>
      <c r="Y75" s="1487"/>
      <c r="Z75" s="1487"/>
    </row>
    <row r="76" spans="1:26" s="973" customFormat="1">
      <c r="A76" s="973" t="s">
        <v>2927</v>
      </c>
      <c r="B76" s="973" t="s">
        <v>2928</v>
      </c>
      <c r="C76" s="974">
        <v>44401</v>
      </c>
      <c r="D76" s="974">
        <v>44408</v>
      </c>
      <c r="E76" s="979"/>
      <c r="G76" s="979"/>
      <c r="I76" s="973" t="s">
        <v>23</v>
      </c>
      <c r="J76" s="973" t="s">
        <v>19</v>
      </c>
      <c r="L76" s="979" t="s">
        <v>2929</v>
      </c>
      <c r="N76" s="1115" t="s">
        <v>2930</v>
      </c>
      <c r="O76" s="975">
        <v>2024.3</v>
      </c>
      <c r="Q76" s="973" t="s">
        <v>1343</v>
      </c>
      <c r="R76" s="1498">
        <v>1</v>
      </c>
      <c r="S76" s="976">
        <v>6</v>
      </c>
      <c r="T76" s="976">
        <v>0</v>
      </c>
      <c r="U76" s="977"/>
      <c r="V76" s="974">
        <v>44301</v>
      </c>
      <c r="W76" s="973" t="s">
        <v>2891</v>
      </c>
      <c r="X76" s="973" t="s">
        <v>1154</v>
      </c>
      <c r="Y76" s="1498"/>
      <c r="Z76" s="1498"/>
    </row>
    <row r="77" spans="1:26" s="115" customFormat="1">
      <c r="A77" s="115" t="s">
        <v>2848</v>
      </c>
      <c r="B77" s="115" t="s">
        <v>2849</v>
      </c>
      <c r="C77" s="116">
        <v>44415</v>
      </c>
      <c r="D77" s="116">
        <v>44429</v>
      </c>
      <c r="E77" s="935" t="s">
        <v>2850</v>
      </c>
      <c r="G77" s="935" t="s">
        <v>2851</v>
      </c>
      <c r="H77" s="115" t="s">
        <v>2605</v>
      </c>
      <c r="I77" s="115" t="s">
        <v>18</v>
      </c>
      <c r="J77" s="115" t="s">
        <v>51</v>
      </c>
      <c r="L77" s="935" t="s">
        <v>2852</v>
      </c>
      <c r="N77" s="128" t="s">
        <v>2853</v>
      </c>
      <c r="O77" s="118">
        <f>1990*2</f>
        <v>3980</v>
      </c>
      <c r="Q77" s="115" t="s">
        <v>2424</v>
      </c>
      <c r="R77" s="1486">
        <v>2</v>
      </c>
      <c r="S77" s="361">
        <v>2</v>
      </c>
      <c r="T77" s="361">
        <v>1</v>
      </c>
      <c r="U77" s="129">
        <v>995</v>
      </c>
      <c r="V77" s="116"/>
      <c r="Y77" s="1486"/>
      <c r="Z77" s="1486"/>
    </row>
    <row r="78" spans="1:26" s="973" customFormat="1">
      <c r="A78" s="973" t="s">
        <v>2923</v>
      </c>
      <c r="B78" s="973" t="s">
        <v>2924</v>
      </c>
      <c r="C78" s="974">
        <v>44429</v>
      </c>
      <c r="D78" s="974">
        <v>44436</v>
      </c>
      <c r="E78" s="979"/>
      <c r="G78" s="979"/>
      <c r="I78" s="973" t="s">
        <v>18</v>
      </c>
      <c r="J78" s="973" t="s">
        <v>51</v>
      </c>
      <c r="L78" s="973" t="s">
        <v>2926</v>
      </c>
      <c r="N78" s="1115" t="s">
        <v>2925</v>
      </c>
      <c r="O78" s="975"/>
      <c r="Q78" s="973" t="s">
        <v>2957</v>
      </c>
      <c r="R78" s="1498">
        <v>0</v>
      </c>
      <c r="S78" s="976">
        <v>4</v>
      </c>
      <c r="T78" s="976">
        <v>1</v>
      </c>
      <c r="U78" s="977"/>
      <c r="V78" s="974">
        <v>44317</v>
      </c>
      <c r="W78" s="973" t="s">
        <v>2891</v>
      </c>
      <c r="X78" s="973" t="s">
        <v>1154</v>
      </c>
      <c r="Y78" s="1498"/>
      <c r="Z78" s="1498"/>
    </row>
    <row r="79" spans="1:26" s="115" customFormat="1" ht="12" customHeight="1">
      <c r="A79" s="115" t="s">
        <v>2959</v>
      </c>
      <c r="B79" s="115" t="s">
        <v>2958</v>
      </c>
      <c r="C79" s="116">
        <v>44429</v>
      </c>
      <c r="D79" s="116">
        <v>44436</v>
      </c>
      <c r="E79" s="115" t="s">
        <v>1064</v>
      </c>
      <c r="G79" s="361" t="s">
        <v>1065</v>
      </c>
      <c r="H79" s="115" t="s">
        <v>54</v>
      </c>
      <c r="I79" s="115" t="s">
        <v>54</v>
      </c>
      <c r="J79" s="115" t="s">
        <v>19</v>
      </c>
      <c r="L79" s="115" t="s">
        <v>1066</v>
      </c>
      <c r="N79" s="363" t="s">
        <v>1068</v>
      </c>
      <c r="O79" s="118">
        <v>1990</v>
      </c>
      <c r="Q79" s="115" t="s">
        <v>1808</v>
      </c>
      <c r="R79" s="1486">
        <v>1</v>
      </c>
      <c r="S79" s="361" t="s">
        <v>2960</v>
      </c>
      <c r="T79" s="361">
        <v>1</v>
      </c>
      <c r="U79" s="119"/>
      <c r="V79" s="116">
        <v>44370</v>
      </c>
      <c r="W79" s="115" t="s">
        <v>1519</v>
      </c>
      <c r="X79" s="115" t="s">
        <v>1154</v>
      </c>
      <c r="Y79" s="1486"/>
      <c r="Z79" s="1486"/>
    </row>
    <row r="80" spans="1:26" s="115" customFormat="1">
      <c r="A80" s="115" t="s">
        <v>2841</v>
      </c>
      <c r="B80" s="115" t="s">
        <v>2967</v>
      </c>
      <c r="C80" s="116">
        <v>44436</v>
      </c>
      <c r="D80" s="116">
        <v>44457</v>
      </c>
      <c r="E80" s="935" t="s">
        <v>2842</v>
      </c>
      <c r="G80" s="935" t="s">
        <v>2843</v>
      </c>
      <c r="H80" s="115" t="s">
        <v>2844</v>
      </c>
      <c r="I80" s="115" t="s">
        <v>54</v>
      </c>
      <c r="J80" s="115" t="s">
        <v>2568</v>
      </c>
      <c r="K80" s="115" t="s">
        <v>2846</v>
      </c>
      <c r="L80" s="935" t="s">
        <v>2845</v>
      </c>
      <c r="N80" s="128" t="s">
        <v>2847</v>
      </c>
      <c r="O80" s="118">
        <f>1990+1590+1590</f>
        <v>5170</v>
      </c>
      <c r="Q80" s="115" t="s">
        <v>717</v>
      </c>
      <c r="R80" s="1486">
        <v>3</v>
      </c>
      <c r="S80" s="361">
        <v>2</v>
      </c>
      <c r="T80" s="361">
        <v>2</v>
      </c>
      <c r="U80" s="129">
        <v>1293</v>
      </c>
      <c r="V80" s="116">
        <v>44212</v>
      </c>
      <c r="W80" s="115" t="s">
        <v>1338</v>
      </c>
      <c r="X80" s="115" t="s">
        <v>1154</v>
      </c>
      <c r="Y80" s="1486" t="s">
        <v>2990</v>
      </c>
      <c r="Z80" s="1486"/>
    </row>
    <row r="81" spans="1:26" s="115" customFormat="1">
      <c r="A81" s="115" t="s">
        <v>2457</v>
      </c>
      <c r="B81" s="115" t="s">
        <v>2456</v>
      </c>
      <c r="C81" s="116">
        <v>44457</v>
      </c>
      <c r="D81" s="116">
        <v>44471</v>
      </c>
      <c r="E81" s="115" t="s">
        <v>2458</v>
      </c>
      <c r="G81" s="361" t="s">
        <v>2459</v>
      </c>
      <c r="H81" s="115" t="s">
        <v>2460</v>
      </c>
      <c r="I81" s="115" t="s">
        <v>18</v>
      </c>
      <c r="J81" s="115" t="s">
        <v>19</v>
      </c>
      <c r="K81" s="115" t="s">
        <v>2462</v>
      </c>
      <c r="L81" s="124" t="s">
        <v>2461</v>
      </c>
      <c r="N81" s="128"/>
      <c r="O81" s="118">
        <f>1290*2</f>
        <v>2580</v>
      </c>
      <c r="Q81" s="115" t="s">
        <v>2464</v>
      </c>
      <c r="R81" s="1486">
        <v>2</v>
      </c>
      <c r="S81" s="361">
        <v>2</v>
      </c>
      <c r="T81" s="361">
        <v>1</v>
      </c>
      <c r="U81" s="129">
        <f>O81/4</f>
        <v>645</v>
      </c>
      <c r="V81" s="116">
        <v>43844</v>
      </c>
      <c r="W81" s="115" t="s">
        <v>1477</v>
      </c>
      <c r="X81" s="115" t="s">
        <v>1154</v>
      </c>
      <c r="Y81" s="1486" t="s">
        <v>2734</v>
      </c>
      <c r="Z81" s="1486"/>
    </row>
    <row r="82" spans="1:26" s="498" customFormat="1">
      <c r="A82" s="498" t="s">
        <v>2518</v>
      </c>
      <c r="B82" s="498" t="s">
        <v>2517</v>
      </c>
      <c r="C82" s="499">
        <v>44441</v>
      </c>
      <c r="D82" s="499">
        <v>44478</v>
      </c>
      <c r="E82" s="498" t="s">
        <v>2519</v>
      </c>
      <c r="F82" s="980"/>
      <c r="G82" s="500" t="s">
        <v>2520</v>
      </c>
      <c r="H82" s="938" t="s">
        <v>2521</v>
      </c>
      <c r="I82" s="498" t="s">
        <v>36</v>
      </c>
      <c r="J82" s="498" t="s">
        <v>19</v>
      </c>
      <c r="K82" s="498" t="s">
        <v>2523</v>
      </c>
      <c r="L82" s="688" t="s">
        <v>2522</v>
      </c>
      <c r="N82" s="868" t="s">
        <v>2524</v>
      </c>
      <c r="O82" s="502">
        <f>1190-400+70</f>
        <v>860</v>
      </c>
      <c r="Q82" s="498" t="s">
        <v>2588</v>
      </c>
      <c r="R82" s="1490"/>
      <c r="S82" s="500">
        <v>2</v>
      </c>
      <c r="T82" s="500">
        <v>1</v>
      </c>
      <c r="U82" s="670">
        <v>400</v>
      </c>
      <c r="V82" s="499">
        <v>43864</v>
      </c>
      <c r="W82" s="498" t="s">
        <v>1477</v>
      </c>
      <c r="X82" s="498" t="s">
        <v>1154</v>
      </c>
      <c r="Y82" s="1490" t="s">
        <v>2552</v>
      </c>
      <c r="Z82" s="1490"/>
    </row>
    <row r="83" spans="1:26" s="1003" customFormat="1">
      <c r="A83" s="1003" t="s">
        <v>2637</v>
      </c>
      <c r="B83" s="1003" t="s">
        <v>2644</v>
      </c>
      <c r="C83" s="1004">
        <v>44478</v>
      </c>
      <c r="D83" s="1004">
        <v>44485</v>
      </c>
      <c r="E83" s="1003" t="s">
        <v>2638</v>
      </c>
      <c r="G83" s="1005" t="s">
        <v>2639</v>
      </c>
      <c r="H83" s="1003" t="s">
        <v>2640</v>
      </c>
      <c r="I83" s="1003" t="s">
        <v>18</v>
      </c>
      <c r="J83" s="1003" t="s">
        <v>51</v>
      </c>
      <c r="L83" s="1006" t="s">
        <v>2641</v>
      </c>
      <c r="N83" s="1007" t="s">
        <v>2642</v>
      </c>
      <c r="O83" s="1008">
        <v>354</v>
      </c>
      <c r="Q83" s="1003" t="s">
        <v>2706</v>
      </c>
      <c r="R83" s="1499">
        <v>1</v>
      </c>
      <c r="S83" s="1005">
        <v>4</v>
      </c>
      <c r="T83" s="1005">
        <v>1</v>
      </c>
      <c r="U83" s="1009">
        <v>354</v>
      </c>
      <c r="V83" s="1004">
        <v>44026</v>
      </c>
      <c r="W83" s="1003" t="s">
        <v>1477</v>
      </c>
      <c r="X83" s="1003" t="s">
        <v>1154</v>
      </c>
      <c r="Y83" s="1499"/>
      <c r="Z83" s="1499" t="s">
        <v>2937</v>
      </c>
    </row>
    <row r="84" spans="1:26" s="115" customFormat="1">
      <c r="A84" s="115" t="s">
        <v>2676</v>
      </c>
      <c r="B84" s="115" t="s">
        <v>2677</v>
      </c>
      <c r="C84" s="116">
        <v>44485</v>
      </c>
      <c r="D84" s="116">
        <v>44492</v>
      </c>
      <c r="E84" s="115" t="s">
        <v>2678</v>
      </c>
      <c r="G84" s="361" t="s">
        <v>2679</v>
      </c>
      <c r="H84" s="115" t="s">
        <v>2680</v>
      </c>
      <c r="I84" s="115" t="s">
        <v>18</v>
      </c>
      <c r="J84" s="115" t="s">
        <v>51</v>
      </c>
      <c r="K84" s="115" t="s">
        <v>2681</v>
      </c>
      <c r="L84" s="124" t="s">
        <v>2682</v>
      </c>
      <c r="N84" s="128" t="s">
        <v>2683</v>
      </c>
      <c r="O84" s="118">
        <v>990</v>
      </c>
      <c r="Q84" s="115" t="s">
        <v>2684</v>
      </c>
      <c r="R84" s="1486">
        <v>1</v>
      </c>
      <c r="S84" s="361">
        <v>4</v>
      </c>
      <c r="T84" s="361">
        <v>1</v>
      </c>
      <c r="U84" s="129">
        <v>250</v>
      </c>
      <c r="V84" s="116">
        <v>44073</v>
      </c>
      <c r="X84" s="115" t="s">
        <v>1154</v>
      </c>
      <c r="Y84" s="1486"/>
      <c r="Z84" s="1486"/>
    </row>
    <row r="85" spans="1:26" s="115" customFormat="1">
      <c r="A85" s="115" t="s">
        <v>2976</v>
      </c>
      <c r="B85" s="115" t="s">
        <v>2977</v>
      </c>
      <c r="C85" s="116">
        <v>44492</v>
      </c>
      <c r="D85" s="116">
        <v>44499</v>
      </c>
      <c r="E85" s="115" t="s">
        <v>2978</v>
      </c>
      <c r="G85" s="115" t="s">
        <v>2979</v>
      </c>
      <c r="H85" s="115" t="s">
        <v>2980</v>
      </c>
      <c r="I85" s="115" t="s">
        <v>18</v>
      </c>
      <c r="J85" s="115" t="s">
        <v>51</v>
      </c>
      <c r="L85" s="124" t="s">
        <v>2981</v>
      </c>
      <c r="N85" s="128" t="s">
        <v>2982</v>
      </c>
      <c r="O85" s="118">
        <v>990</v>
      </c>
      <c r="Q85" s="115" t="s">
        <v>1500</v>
      </c>
      <c r="R85" s="1486">
        <v>1</v>
      </c>
      <c r="S85" s="361">
        <v>2</v>
      </c>
      <c r="T85" s="361">
        <v>1</v>
      </c>
      <c r="U85" s="129">
        <v>247.5</v>
      </c>
      <c r="V85" s="116">
        <v>44380</v>
      </c>
      <c r="W85" s="115" t="s">
        <v>1477</v>
      </c>
      <c r="X85" s="115" t="s">
        <v>1154</v>
      </c>
      <c r="Y85" s="1486"/>
      <c r="Z85" s="1486"/>
    </row>
    <row r="86" spans="1:26" s="939" customFormat="1">
      <c r="A86" s="939" t="s">
        <v>2827</v>
      </c>
      <c r="B86" s="939" t="s">
        <v>2828</v>
      </c>
      <c r="C86" s="940">
        <v>44506</v>
      </c>
      <c r="D86" s="940">
        <v>44520</v>
      </c>
      <c r="E86" s="1116" t="s">
        <v>2830</v>
      </c>
      <c r="G86" s="941" t="s">
        <v>2831</v>
      </c>
      <c r="H86" s="939" t="s">
        <v>2832</v>
      </c>
      <c r="I86" s="939" t="s">
        <v>18</v>
      </c>
      <c r="J86" s="939" t="s">
        <v>51</v>
      </c>
      <c r="L86" s="942" t="s">
        <v>2829</v>
      </c>
      <c r="N86" s="1117" t="s">
        <v>2833</v>
      </c>
      <c r="O86" s="943">
        <v>1740</v>
      </c>
      <c r="Q86" s="939" t="s">
        <v>2886</v>
      </c>
      <c r="R86" s="1500">
        <v>2</v>
      </c>
      <c r="S86" s="941">
        <v>2</v>
      </c>
      <c r="T86" s="941">
        <v>2</v>
      </c>
      <c r="U86" s="944">
        <v>435</v>
      </c>
      <c r="V86" s="940">
        <v>44195</v>
      </c>
      <c r="W86" s="939" t="s">
        <v>1477</v>
      </c>
      <c r="X86" s="939" t="s">
        <v>1154</v>
      </c>
      <c r="Y86" s="1500"/>
      <c r="Z86" s="1500"/>
    </row>
    <row r="87" spans="1:26" s="689" customFormat="1">
      <c r="A87" s="689" t="s">
        <v>3045</v>
      </c>
      <c r="B87" s="689" t="s">
        <v>596</v>
      </c>
      <c r="C87" s="690">
        <v>44527</v>
      </c>
      <c r="D87" s="690">
        <v>44541</v>
      </c>
      <c r="E87" s="692" t="s">
        <v>3046</v>
      </c>
      <c r="G87" s="691" t="s">
        <v>3047</v>
      </c>
      <c r="H87" s="689" t="s">
        <v>3048</v>
      </c>
      <c r="I87" s="689" t="s">
        <v>18</v>
      </c>
      <c r="J87" s="689" t="s">
        <v>51</v>
      </c>
      <c r="L87" s="693" t="s">
        <v>3050</v>
      </c>
      <c r="N87" s="874" t="s">
        <v>3049</v>
      </c>
      <c r="O87" s="694"/>
      <c r="Q87" s="689" t="s">
        <v>3051</v>
      </c>
      <c r="R87" s="1492"/>
      <c r="S87" s="691">
        <v>2</v>
      </c>
      <c r="T87" s="691">
        <v>2</v>
      </c>
      <c r="U87" s="697">
        <v>395</v>
      </c>
      <c r="V87" s="690">
        <v>44473</v>
      </c>
      <c r="W87" s="689" t="s">
        <v>1477</v>
      </c>
      <c r="X87" s="689" t="s">
        <v>1154</v>
      </c>
      <c r="Y87" s="1492" t="s">
        <v>3052</v>
      </c>
      <c r="Z87" s="1492"/>
    </row>
    <row r="88" spans="1:26" s="1003" customFormat="1">
      <c r="A88" s="1003" t="s">
        <v>2716</v>
      </c>
      <c r="B88" s="1003" t="s">
        <v>603</v>
      </c>
      <c r="C88" s="1004">
        <v>44555</v>
      </c>
      <c r="D88" s="1004">
        <v>44562</v>
      </c>
      <c r="E88" s="1118" t="s">
        <v>2717</v>
      </c>
      <c r="G88" s="1005" t="s">
        <v>2718</v>
      </c>
      <c r="H88" s="1003" t="s">
        <v>2721</v>
      </c>
      <c r="I88" s="1003" t="s">
        <v>18</v>
      </c>
      <c r="J88" s="1003" t="s">
        <v>51</v>
      </c>
      <c r="L88" s="1006" t="s">
        <v>2719</v>
      </c>
      <c r="N88" s="1007"/>
      <c r="O88" s="1008">
        <v>1190</v>
      </c>
      <c r="Q88" s="1003" t="s">
        <v>3096</v>
      </c>
      <c r="R88" s="1499">
        <v>1</v>
      </c>
      <c r="S88" s="1005">
        <v>2</v>
      </c>
      <c r="T88" s="1005">
        <v>1</v>
      </c>
      <c r="U88" s="1009">
        <v>250</v>
      </c>
      <c r="V88" s="1004">
        <v>44186</v>
      </c>
      <c r="W88" s="1003" t="s">
        <v>1477</v>
      </c>
      <c r="X88" s="1003" t="s">
        <v>1154</v>
      </c>
      <c r="Y88" s="1499"/>
      <c r="Z88" s="1499"/>
    </row>
    <row r="89" spans="1:26" ht="10.8" thickBot="1">
      <c r="G89" s="132"/>
      <c r="H89" s="495"/>
      <c r="O89" s="457"/>
      <c r="S89" s="132"/>
      <c r="T89" s="132"/>
    </row>
    <row r="90" spans="1:26" ht="10.8" thickBot="1">
      <c r="A90" s="18" t="s">
        <v>2693</v>
      </c>
      <c r="B90" s="767">
        <f>SUM(O62:O89)</f>
        <v>36585.54</v>
      </c>
      <c r="C90" s="933">
        <f>B90/B50</f>
        <v>1.4613756740563213</v>
      </c>
      <c r="D90" s="791" t="s">
        <v>574</v>
      </c>
      <c r="E90" s="782"/>
      <c r="F90" s="7"/>
      <c r="G90" s="133">
        <f>450/1.2</f>
        <v>375</v>
      </c>
      <c r="H90" s="49"/>
      <c r="I90" s="7"/>
      <c r="K90" s="7"/>
      <c r="L90" s="864"/>
      <c r="M90" s="7"/>
      <c r="N90" s="7"/>
      <c r="O90" s="773"/>
      <c r="P90" s="7"/>
      <c r="S90" s="133"/>
      <c r="T90" s="133" t="e">
        <f>#REF!-#REF!</f>
        <v>#REF!</v>
      </c>
      <c r="U90" s="74"/>
    </row>
    <row r="91" spans="1:26" ht="10.8" thickBot="1">
      <c r="A91" s="768" t="s">
        <v>463</v>
      </c>
      <c r="B91" s="922">
        <f>SUM(R62:R94)</f>
        <v>26</v>
      </c>
      <c r="C91" s="783">
        <f>B90/B91</f>
        <v>1407.1361538461538</v>
      </c>
      <c r="D91" s="17" t="s">
        <v>575</v>
      </c>
      <c r="E91" s="13"/>
      <c r="F91" s="7"/>
      <c r="G91" s="133"/>
      <c r="I91" s="7"/>
      <c r="K91" s="404"/>
      <c r="M91" s="7"/>
      <c r="O91" s="773"/>
      <c r="P91" s="7"/>
      <c r="Q91" s="439"/>
      <c r="S91" s="133"/>
      <c r="T91" s="133"/>
      <c r="U91" s="74"/>
    </row>
    <row r="92" spans="1:26" ht="10.8" thickBot="1">
      <c r="A92" s="7"/>
      <c r="B92" s="7"/>
      <c r="C92" s="29"/>
      <c r="D92" s="17" t="s">
        <v>576</v>
      </c>
      <c r="E92" s="13"/>
      <c r="F92" s="7"/>
      <c r="G92" s="133"/>
      <c r="H92" s="495">
        <f>450/1.2</f>
        <v>375</v>
      </c>
      <c r="I92" s="7"/>
      <c r="K92" s="404"/>
      <c r="L92" s="495"/>
      <c r="M92" s="870">
        <f>165*7</f>
        <v>1155</v>
      </c>
      <c r="O92" s="773"/>
      <c r="P92" s="7"/>
      <c r="Q92" s="439"/>
      <c r="S92" s="133"/>
      <c r="T92" s="133"/>
      <c r="U92" s="7"/>
    </row>
    <row r="93" spans="1:26" ht="10.8" thickBot="1">
      <c r="A93" s="18" t="s">
        <v>464</v>
      </c>
      <c r="B93" s="851">
        <f>(1788.54+225.66)*12</f>
        <v>24170.400000000001</v>
      </c>
      <c r="C93" s="29"/>
      <c r="D93" s="17" t="s">
        <v>1304</v>
      </c>
      <c r="E93" s="13"/>
      <c r="F93" s="7"/>
      <c r="G93" s="133"/>
      <c r="H93" s="495"/>
      <c r="I93" s="7">
        <f>450/1.2</f>
        <v>375</v>
      </c>
      <c r="J93" s="7"/>
      <c r="K93" s="404"/>
      <c r="L93" s="404"/>
      <c r="M93" s="7"/>
      <c r="O93" s="439"/>
      <c r="P93" s="7"/>
      <c r="Q93" s="439"/>
      <c r="S93" s="133"/>
      <c r="T93" s="133"/>
      <c r="U93" s="7"/>
    </row>
    <row r="94" spans="1:26" ht="10.8" thickBot="1">
      <c r="A94" s="852" t="s">
        <v>574</v>
      </c>
      <c r="B94" s="853">
        <f>E96</f>
        <v>0</v>
      </c>
      <c r="C94" s="29"/>
      <c r="D94" s="17" t="s">
        <v>577</v>
      </c>
      <c r="E94" s="13"/>
      <c r="F94" s="7"/>
      <c r="G94" s="133"/>
      <c r="H94" s="495"/>
      <c r="I94" s="7"/>
      <c r="J94" s="7"/>
      <c r="K94" s="49"/>
      <c r="L94" s="49"/>
      <c r="M94" s="7"/>
      <c r="N94" s="1111"/>
      <c r="O94" s="773"/>
      <c r="P94" s="7"/>
      <c r="Q94" s="439"/>
      <c r="S94" s="133"/>
      <c r="T94" s="133"/>
      <c r="U94" s="7"/>
    </row>
    <row r="95" spans="1:26" ht="10.8" thickBot="1">
      <c r="A95" s="510" t="s">
        <v>1534</v>
      </c>
      <c r="B95" s="854">
        <f>B90-B93-B94</f>
        <v>12415.14</v>
      </c>
      <c r="C95" s="29"/>
      <c r="D95" s="786" t="s">
        <v>578</v>
      </c>
      <c r="E95" s="541"/>
      <c r="F95" s="7"/>
      <c r="G95" s="133"/>
      <c r="H95" s="495"/>
      <c r="I95" s="7"/>
      <c r="J95" s="7"/>
      <c r="M95" s="7"/>
      <c r="N95" s="7"/>
      <c r="O95" s="773"/>
      <c r="P95" s="7"/>
      <c r="Q95" s="439"/>
      <c r="S95" s="133"/>
      <c r="T95" s="133"/>
      <c r="U95" s="7"/>
    </row>
    <row r="96" spans="1:26">
      <c r="Q96" s="439"/>
    </row>
    <row r="97" spans="1:27">
      <c r="Q97" s="439"/>
    </row>
    <row r="100" spans="1:27">
      <c r="A100" s="9" t="s">
        <v>2962</v>
      </c>
      <c r="B100" s="856"/>
      <c r="C100" s="1114"/>
      <c r="E100" s="1114"/>
      <c r="G100" s="857"/>
      <c r="H100" s="856"/>
      <c r="I100" s="856"/>
      <c r="J100" s="856"/>
      <c r="K100" s="856"/>
      <c r="L100" s="856"/>
      <c r="M100" s="856"/>
      <c r="N100" s="856"/>
      <c r="O100" s="856"/>
      <c r="P100" s="856"/>
      <c r="Q100" s="856"/>
      <c r="R100" s="858"/>
      <c r="S100" s="857"/>
      <c r="T100" s="857"/>
      <c r="U100" s="858"/>
      <c r="V100" s="1541"/>
      <c r="W100" s="856"/>
      <c r="X100" s="856"/>
    </row>
    <row r="101" spans="1:27" s="355" customFormat="1" ht="12" customHeight="1">
      <c r="A101" s="355" t="s">
        <v>2863</v>
      </c>
      <c r="B101" s="355" t="s">
        <v>2264</v>
      </c>
      <c r="C101" s="357">
        <v>44604</v>
      </c>
      <c r="D101" s="357">
        <v>44611</v>
      </c>
      <c r="E101" s="355" t="s">
        <v>3145</v>
      </c>
      <c r="G101" s="358" t="s">
        <v>3146</v>
      </c>
      <c r="H101" s="355" t="s">
        <v>3147</v>
      </c>
      <c r="I101" s="355" t="s">
        <v>54</v>
      </c>
      <c r="J101" s="355" t="s">
        <v>19</v>
      </c>
      <c r="K101" s="368"/>
      <c r="L101" s="355" t="s">
        <v>2864</v>
      </c>
      <c r="N101" s="365" t="s">
        <v>2865</v>
      </c>
      <c r="O101" s="1036">
        <f>890+3*3*7+70</f>
        <v>1023</v>
      </c>
      <c r="Q101" s="355" t="s">
        <v>1910</v>
      </c>
      <c r="R101" s="1487">
        <v>1</v>
      </c>
      <c r="S101" s="358">
        <v>3</v>
      </c>
      <c r="T101" s="358">
        <v>3</v>
      </c>
      <c r="V101" s="357">
        <v>44590</v>
      </c>
      <c r="W101" s="355" t="s">
        <v>3137</v>
      </c>
      <c r="X101" s="355" t="s">
        <v>1154</v>
      </c>
      <c r="Y101" s="1487" t="s">
        <v>2353</v>
      </c>
      <c r="Z101" s="1487"/>
    </row>
    <row r="102" spans="1:27" s="973" customFormat="1">
      <c r="A102" s="973" t="s">
        <v>3045</v>
      </c>
      <c r="B102" s="973" t="s">
        <v>596</v>
      </c>
      <c r="C102" s="974">
        <v>44632</v>
      </c>
      <c r="D102" s="974">
        <v>44646</v>
      </c>
      <c r="E102" s="1119" t="s">
        <v>3046</v>
      </c>
      <c r="G102" s="976" t="s">
        <v>3047</v>
      </c>
      <c r="H102" s="973" t="s">
        <v>3048</v>
      </c>
      <c r="I102" s="973" t="s">
        <v>18</v>
      </c>
      <c r="J102" s="973" t="s">
        <v>51</v>
      </c>
      <c r="L102" s="1099" t="s">
        <v>3050</v>
      </c>
      <c r="N102" s="1115" t="s">
        <v>3049</v>
      </c>
      <c r="O102" s="975">
        <f>790*2+200+70+84</f>
        <v>1934</v>
      </c>
      <c r="Q102" s="973" t="s">
        <v>717</v>
      </c>
      <c r="R102" s="1498">
        <v>2</v>
      </c>
      <c r="S102" s="976">
        <v>2</v>
      </c>
      <c r="T102" s="976">
        <v>2</v>
      </c>
      <c r="U102" s="977">
        <v>395</v>
      </c>
      <c r="V102" s="974">
        <v>44473</v>
      </c>
      <c r="W102" s="973" t="s">
        <v>1477</v>
      </c>
      <c r="X102" s="973" t="s">
        <v>1154</v>
      </c>
      <c r="Y102" s="1498" t="s">
        <v>3189</v>
      </c>
      <c r="Z102" s="1498"/>
    </row>
    <row r="103" spans="1:27" s="1148" customFormat="1" ht="12" customHeight="1">
      <c r="A103" s="1148" t="s">
        <v>1653</v>
      </c>
      <c r="B103" s="1148" t="s">
        <v>264</v>
      </c>
      <c r="C103" s="1149">
        <v>44646</v>
      </c>
      <c r="D103" s="1149">
        <v>44660</v>
      </c>
      <c r="E103" s="1148" t="s">
        <v>1654</v>
      </c>
      <c r="G103" s="1150" t="s">
        <v>1655</v>
      </c>
      <c r="H103" s="1148" t="s">
        <v>937</v>
      </c>
      <c r="I103" s="1148" t="s">
        <v>18</v>
      </c>
      <c r="J103" s="1148" t="s">
        <v>51</v>
      </c>
      <c r="K103" s="1148" t="s">
        <v>1656</v>
      </c>
      <c r="L103" s="1148" t="s">
        <v>3040</v>
      </c>
      <c r="N103" s="1151" t="s">
        <v>1652</v>
      </c>
      <c r="O103" s="1152">
        <f>890*2</f>
        <v>1780</v>
      </c>
      <c r="Q103" s="1148" t="s">
        <v>717</v>
      </c>
      <c r="R103" s="1501">
        <v>2</v>
      </c>
      <c r="S103" s="1150">
        <v>2</v>
      </c>
      <c r="T103" s="1150">
        <v>2</v>
      </c>
      <c r="U103" s="1154">
        <v>445</v>
      </c>
      <c r="V103" s="1149">
        <v>44454</v>
      </c>
      <c r="W103" s="1148" t="s">
        <v>1519</v>
      </c>
      <c r="X103" s="1148" t="s">
        <v>1154</v>
      </c>
      <c r="Y103" s="1501"/>
      <c r="Z103" s="1501"/>
    </row>
    <row r="104" spans="1:27" s="1148" customFormat="1">
      <c r="A104" s="1148" t="s">
        <v>2998</v>
      </c>
      <c r="B104" s="1148" t="s">
        <v>2999</v>
      </c>
      <c r="C104" s="1149">
        <v>44660</v>
      </c>
      <c r="D104" s="1149">
        <v>44688</v>
      </c>
      <c r="E104" s="1148" t="s">
        <v>3000</v>
      </c>
      <c r="G104" s="1150"/>
      <c r="I104" s="1148" t="s">
        <v>18</v>
      </c>
      <c r="J104" s="1148" t="s">
        <v>51</v>
      </c>
      <c r="L104" s="1156" t="s">
        <v>3002</v>
      </c>
      <c r="N104" s="1151" t="s">
        <v>3001</v>
      </c>
      <c r="O104" s="1152">
        <f>3760</f>
        <v>3760</v>
      </c>
      <c r="Q104" s="1148" t="s">
        <v>3003</v>
      </c>
      <c r="R104" s="1501">
        <v>4</v>
      </c>
      <c r="S104" s="1150">
        <v>5</v>
      </c>
      <c r="T104" s="1150">
        <v>2</v>
      </c>
      <c r="U104" s="1157">
        <f>O104/4</f>
        <v>940</v>
      </c>
      <c r="V104" s="1149">
        <v>44405</v>
      </c>
      <c r="W104" s="1148" t="s">
        <v>1338</v>
      </c>
      <c r="X104" s="1148" t="s">
        <v>1154</v>
      </c>
      <c r="Y104" s="1501" t="s">
        <v>3004</v>
      </c>
      <c r="Z104" s="1501"/>
    </row>
    <row r="105" spans="1:27" s="1148" customFormat="1" ht="12" customHeight="1">
      <c r="A105" s="1148" t="s">
        <v>2968</v>
      </c>
      <c r="B105" s="1148" t="s">
        <v>2969</v>
      </c>
      <c r="C105" s="1149">
        <v>44688</v>
      </c>
      <c r="D105" s="1149">
        <v>44695</v>
      </c>
      <c r="E105" s="1148" t="s">
        <v>2970</v>
      </c>
      <c r="G105" s="1150" t="s">
        <v>2971</v>
      </c>
      <c r="H105" s="1148" t="s">
        <v>2972</v>
      </c>
      <c r="I105" s="1148" t="s">
        <v>18</v>
      </c>
      <c r="J105" s="1148" t="s">
        <v>51</v>
      </c>
      <c r="L105" s="1148" t="s">
        <v>2973</v>
      </c>
      <c r="N105" s="1151" t="s">
        <v>2974</v>
      </c>
      <c r="O105" s="1152">
        <f>1090*1+21+70</f>
        <v>1181</v>
      </c>
      <c r="Q105" s="1148" t="s">
        <v>2975</v>
      </c>
      <c r="R105" s="1501">
        <v>1</v>
      </c>
      <c r="S105" s="1150">
        <v>3</v>
      </c>
      <c r="T105" s="1150">
        <v>1</v>
      </c>
      <c r="U105" s="1154">
        <v>545</v>
      </c>
      <c r="V105" s="1149">
        <v>44375</v>
      </c>
      <c r="W105" s="1148" t="s">
        <v>1477</v>
      </c>
      <c r="X105" s="1148" t="s">
        <v>1154</v>
      </c>
      <c r="Y105" s="1501" t="s">
        <v>3136</v>
      </c>
      <c r="Z105" s="1501"/>
    </row>
    <row r="106" spans="1:27" s="1148" customFormat="1">
      <c r="A106" s="1148" t="s">
        <v>2743</v>
      </c>
      <c r="B106" s="1148" t="s">
        <v>2742</v>
      </c>
      <c r="C106" s="1149">
        <v>44702</v>
      </c>
      <c r="D106" s="1149">
        <v>44351</v>
      </c>
      <c r="E106" s="1158" t="s">
        <v>2744</v>
      </c>
      <c r="G106" s="1158" t="s">
        <v>2745</v>
      </c>
      <c r="H106" s="1148" t="s">
        <v>2746</v>
      </c>
      <c r="I106" s="1148" t="s">
        <v>18</v>
      </c>
      <c r="J106" s="1148" t="s">
        <v>51</v>
      </c>
      <c r="L106" s="1158" t="s">
        <v>2747</v>
      </c>
      <c r="N106" s="1151" t="s">
        <v>2748</v>
      </c>
      <c r="O106" s="1152">
        <f xml:space="preserve"> 1190*2+70+3*2*14</f>
        <v>2534</v>
      </c>
      <c r="Q106" s="1148" t="s">
        <v>2885</v>
      </c>
      <c r="R106" s="1501">
        <v>2</v>
      </c>
      <c r="S106" s="1150">
        <v>2</v>
      </c>
      <c r="T106" s="1150">
        <v>2</v>
      </c>
      <c r="U106" s="1157">
        <v>520</v>
      </c>
      <c r="V106" s="1149">
        <v>44111</v>
      </c>
      <c r="W106" s="1148" t="s">
        <v>2749</v>
      </c>
      <c r="X106" s="1148" t="s">
        <v>1154</v>
      </c>
      <c r="Y106" s="1501"/>
      <c r="Z106" s="1501"/>
    </row>
    <row r="107" spans="1:27" s="1148" customFormat="1" ht="12" customHeight="1">
      <c r="A107" s="1148" t="s">
        <v>1792</v>
      </c>
      <c r="B107" s="1148" t="s">
        <v>1793</v>
      </c>
      <c r="C107" s="1149">
        <v>44716</v>
      </c>
      <c r="D107" s="1149">
        <v>44730</v>
      </c>
      <c r="E107" s="1148" t="s">
        <v>2963</v>
      </c>
      <c r="G107" s="1150" t="s">
        <v>2964</v>
      </c>
      <c r="H107" s="1148" t="s">
        <v>2965</v>
      </c>
      <c r="I107" s="1148" t="s">
        <v>168</v>
      </c>
      <c r="J107" s="1148" t="s">
        <v>51</v>
      </c>
      <c r="L107" s="1148" t="s">
        <v>1797</v>
      </c>
      <c r="N107" s="1151" t="s">
        <v>1798</v>
      </c>
      <c r="O107" s="1152">
        <f>1390+1590+70+3*4*14</f>
        <v>3218</v>
      </c>
      <c r="Q107" s="1148" t="s">
        <v>1300</v>
      </c>
      <c r="R107" s="1501">
        <v>2</v>
      </c>
      <c r="S107" s="1150">
        <v>2</v>
      </c>
      <c r="T107" s="1150">
        <v>3</v>
      </c>
      <c r="U107" s="1154">
        <v>745</v>
      </c>
      <c r="V107" s="1149">
        <v>44375</v>
      </c>
      <c r="W107" s="1148" t="s">
        <v>2966</v>
      </c>
      <c r="X107" s="1148" t="s">
        <v>1154</v>
      </c>
      <c r="Y107" s="1501" t="s">
        <v>3228</v>
      </c>
      <c r="Z107" s="1501"/>
    </row>
    <row r="108" spans="1:27" s="1160" customFormat="1">
      <c r="A108" s="1160" t="s">
        <v>2723</v>
      </c>
      <c r="B108" s="1160" t="s">
        <v>2722</v>
      </c>
      <c r="C108" s="1161">
        <v>44730</v>
      </c>
      <c r="D108" s="1161">
        <v>44744</v>
      </c>
      <c r="G108" s="1162"/>
      <c r="I108" s="1160" t="s">
        <v>18</v>
      </c>
      <c r="J108" s="1160" t="s">
        <v>51</v>
      </c>
      <c r="L108" s="1163" t="s">
        <v>2724</v>
      </c>
      <c r="N108" s="1164" t="s">
        <v>2725</v>
      </c>
      <c r="O108" s="1165">
        <f>1590+1990+70+50</f>
        <v>3700</v>
      </c>
      <c r="Q108" s="1160" t="s">
        <v>717</v>
      </c>
      <c r="R108" s="1502">
        <v>2</v>
      </c>
      <c r="S108" s="1162">
        <v>2</v>
      </c>
      <c r="T108" s="1162">
        <v>2</v>
      </c>
      <c r="U108" s="1166">
        <v>800</v>
      </c>
      <c r="V108" s="1161">
        <v>44457</v>
      </c>
      <c r="W108" s="1160" t="s">
        <v>1477</v>
      </c>
      <c r="X108" s="1160" t="s">
        <v>1154</v>
      </c>
      <c r="Y108" s="1502"/>
      <c r="Z108" s="1502"/>
    </row>
    <row r="109" spans="1:27" s="1061" customFormat="1">
      <c r="A109" s="1061" t="s">
        <v>3127</v>
      </c>
      <c r="B109" s="1061" t="s">
        <v>3128</v>
      </c>
      <c r="C109" s="1062">
        <v>44744</v>
      </c>
      <c r="D109" s="1062">
        <v>44758</v>
      </c>
      <c r="E109" s="1061" t="s">
        <v>3129</v>
      </c>
      <c r="G109" s="1063" t="s">
        <v>3130</v>
      </c>
      <c r="H109" s="1061" t="s">
        <v>842</v>
      </c>
      <c r="I109" s="1061" t="s">
        <v>944</v>
      </c>
      <c r="J109" s="1061" t="s">
        <v>51</v>
      </c>
      <c r="L109" s="1064" t="s">
        <v>3131</v>
      </c>
      <c r="N109" s="850" t="s">
        <v>3132</v>
      </c>
      <c r="O109" s="1065"/>
      <c r="Q109" s="1061" t="s">
        <v>3133</v>
      </c>
      <c r="R109" s="1503"/>
      <c r="S109" s="1063">
        <v>2</v>
      </c>
      <c r="T109" s="1063">
        <v>1</v>
      </c>
      <c r="U109" s="1066">
        <v>995</v>
      </c>
      <c r="V109" s="1062">
        <v>44570</v>
      </c>
      <c r="W109" s="1061" t="s">
        <v>1338</v>
      </c>
      <c r="X109" s="1061" t="s">
        <v>1154</v>
      </c>
      <c r="Y109" s="1503" t="s">
        <v>3135</v>
      </c>
      <c r="Z109" s="1503"/>
      <c r="AA109" s="1061" t="s">
        <v>3134</v>
      </c>
    </row>
    <row r="110" spans="1:27" s="1160" customFormat="1">
      <c r="A110" s="1160" t="s">
        <v>3174</v>
      </c>
      <c r="B110" s="1160" t="s">
        <v>3175</v>
      </c>
      <c r="C110" s="1161">
        <v>44744</v>
      </c>
      <c r="D110" s="1161">
        <v>44758</v>
      </c>
      <c r="E110" s="1160" t="s">
        <v>3176</v>
      </c>
      <c r="G110" s="1162" t="s">
        <v>3177</v>
      </c>
      <c r="H110" s="1160" t="s">
        <v>3178</v>
      </c>
      <c r="I110" s="1160" t="s">
        <v>18</v>
      </c>
      <c r="J110" s="1160" t="s">
        <v>51</v>
      </c>
      <c r="L110" s="1163" t="s">
        <v>3179</v>
      </c>
      <c r="N110" s="1151" t="s">
        <v>3180</v>
      </c>
      <c r="O110" s="1165">
        <f>1990*2+70</f>
        <v>4050</v>
      </c>
      <c r="Q110" s="1160" t="s">
        <v>2674</v>
      </c>
      <c r="R110" s="1502">
        <v>2</v>
      </c>
      <c r="S110" s="1162">
        <v>2</v>
      </c>
      <c r="T110" s="1162">
        <v>1</v>
      </c>
      <c r="U110" s="1166">
        <v>1000</v>
      </c>
      <c r="V110" s="1161">
        <v>44608</v>
      </c>
      <c r="W110" s="1160" t="s">
        <v>1477</v>
      </c>
      <c r="X110" s="1160" t="s">
        <v>1154</v>
      </c>
      <c r="Y110" s="1502"/>
      <c r="Z110" s="1502"/>
    </row>
    <row r="111" spans="1:27" s="1069" customFormat="1">
      <c r="A111" s="1069" t="s">
        <v>3181</v>
      </c>
      <c r="B111" s="1069" t="s">
        <v>2480</v>
      </c>
      <c r="C111" s="1070">
        <v>44758</v>
      </c>
      <c r="D111" s="1070">
        <v>44765</v>
      </c>
      <c r="E111" s="1069" t="s">
        <v>3182</v>
      </c>
      <c r="G111" s="1071" t="s">
        <v>3183</v>
      </c>
      <c r="H111" s="1069" t="s">
        <v>3184</v>
      </c>
      <c r="I111" s="1069" t="s">
        <v>18</v>
      </c>
      <c r="J111" s="1069" t="s">
        <v>51</v>
      </c>
      <c r="L111" s="1072" t="s">
        <v>3185</v>
      </c>
      <c r="N111" s="365" t="s">
        <v>3186</v>
      </c>
      <c r="O111" s="1174">
        <f>1990+70+42</f>
        <v>2102</v>
      </c>
      <c r="Q111" s="1069" t="s">
        <v>1192</v>
      </c>
      <c r="R111" s="1504">
        <v>1</v>
      </c>
      <c r="S111" s="1071">
        <v>2</v>
      </c>
      <c r="T111" s="1071">
        <v>2</v>
      </c>
      <c r="U111" s="1175">
        <v>500</v>
      </c>
      <c r="V111" s="1070">
        <v>44609</v>
      </c>
      <c r="W111" s="1069" t="s">
        <v>1477</v>
      </c>
      <c r="X111" s="1069" t="s">
        <v>1154</v>
      </c>
      <c r="Y111" s="1504"/>
      <c r="Z111" s="1504"/>
    </row>
    <row r="112" spans="1:27" s="1177" customFormat="1">
      <c r="A112" s="1177" t="s">
        <v>3080</v>
      </c>
      <c r="B112" s="1177" t="s">
        <v>3081</v>
      </c>
      <c r="C112" s="1178">
        <v>44765</v>
      </c>
      <c r="D112" s="1178">
        <v>44779</v>
      </c>
      <c r="E112" s="1177" t="s">
        <v>3082</v>
      </c>
      <c r="G112" s="1179" t="s">
        <v>3083</v>
      </c>
      <c r="H112" s="1177" t="s">
        <v>3084</v>
      </c>
      <c r="I112" s="1177" t="s">
        <v>168</v>
      </c>
      <c r="J112" s="1177" t="s">
        <v>51</v>
      </c>
      <c r="L112" s="1180" t="s">
        <v>3085</v>
      </c>
      <c r="N112" s="1146" t="s">
        <v>3086</v>
      </c>
      <c r="O112" s="1182">
        <f>1990*2+14*2*3+70</f>
        <v>4134</v>
      </c>
      <c r="Q112" s="1177" t="s">
        <v>3087</v>
      </c>
      <c r="R112" s="1505">
        <v>2</v>
      </c>
      <c r="S112" s="1179">
        <v>4</v>
      </c>
      <c r="T112" s="1179">
        <v>2</v>
      </c>
      <c r="U112" s="1183">
        <v>1016</v>
      </c>
      <c r="V112" s="1178"/>
      <c r="W112" s="1177" t="s">
        <v>1477</v>
      </c>
      <c r="X112" s="1177" t="s">
        <v>1154</v>
      </c>
      <c r="Y112" s="1505"/>
      <c r="Z112" s="1505"/>
    </row>
    <row r="113" spans="1:26" s="1148" customFormat="1">
      <c r="A113" s="1148" t="s">
        <v>3072</v>
      </c>
      <c r="B113" s="1148" t="s">
        <v>1962</v>
      </c>
      <c r="C113" s="1149">
        <v>44779</v>
      </c>
      <c r="D113" s="1149">
        <v>44793</v>
      </c>
      <c r="E113" s="1158" t="s">
        <v>3073</v>
      </c>
      <c r="G113" s="1158" t="s">
        <v>3075</v>
      </c>
      <c r="H113" s="1148" t="s">
        <v>3074</v>
      </c>
      <c r="I113" s="1148" t="s">
        <v>1775</v>
      </c>
      <c r="J113" s="1148" t="s">
        <v>51</v>
      </c>
      <c r="L113" s="1158" t="s">
        <v>3076</v>
      </c>
      <c r="N113" s="1151" t="s">
        <v>3071</v>
      </c>
      <c r="O113" s="1190">
        <f>1990*2+70</f>
        <v>4050</v>
      </c>
      <c r="Q113" s="1148" t="s">
        <v>1401</v>
      </c>
      <c r="R113" s="1501">
        <v>2</v>
      </c>
      <c r="S113" s="1150">
        <v>4</v>
      </c>
      <c r="T113" s="1150">
        <v>1</v>
      </c>
      <c r="U113" s="1157">
        <v>1000</v>
      </c>
      <c r="V113" s="1149">
        <v>44508</v>
      </c>
      <c r="W113" s="1148" t="s">
        <v>1665</v>
      </c>
      <c r="X113" s="1148" t="s">
        <v>1154</v>
      </c>
      <c r="Y113" s="1501"/>
      <c r="Z113" s="1501"/>
    </row>
    <row r="114" spans="1:26" s="1148" customFormat="1" ht="12" customHeight="1">
      <c r="A114" s="1148" t="s">
        <v>3166</v>
      </c>
      <c r="B114" s="1148" t="s">
        <v>3167</v>
      </c>
      <c r="C114" s="1149">
        <v>44793</v>
      </c>
      <c r="D114" s="1149">
        <v>44807</v>
      </c>
      <c r="E114" s="1148" t="s">
        <v>3168</v>
      </c>
      <c r="G114" s="1150" t="s">
        <v>3169</v>
      </c>
      <c r="H114" s="1148" t="s">
        <v>54</v>
      </c>
      <c r="I114" s="1148" t="s">
        <v>54</v>
      </c>
      <c r="J114" s="1148" t="s">
        <v>19</v>
      </c>
      <c r="K114" s="1148" t="s">
        <v>3170</v>
      </c>
      <c r="L114" s="1148" t="s">
        <v>3170</v>
      </c>
      <c r="N114" s="1151" t="s">
        <v>3171</v>
      </c>
      <c r="O114" s="1185">
        <f>1990*2+70</f>
        <v>4050</v>
      </c>
      <c r="Q114" s="1148" t="s">
        <v>3172</v>
      </c>
      <c r="R114" s="1501">
        <v>2</v>
      </c>
      <c r="S114" s="1150"/>
      <c r="T114" s="1150">
        <v>2</v>
      </c>
      <c r="U114" s="1154">
        <v>995</v>
      </c>
      <c r="V114" s="1149">
        <v>44571</v>
      </c>
      <c r="W114" s="1148" t="s">
        <v>3173</v>
      </c>
      <c r="X114" s="1148" t="s">
        <v>1154</v>
      </c>
      <c r="Y114" s="1501"/>
      <c r="Z114" s="1501"/>
    </row>
    <row r="115" spans="1:26" s="1148" customFormat="1" ht="12" customHeight="1">
      <c r="A115" s="1148" t="s">
        <v>3160</v>
      </c>
      <c r="B115" s="1148" t="s">
        <v>2736</v>
      </c>
      <c r="C115" s="1149">
        <v>44807</v>
      </c>
      <c r="D115" s="1149">
        <v>44814</v>
      </c>
      <c r="E115" s="1148" t="s">
        <v>3161</v>
      </c>
      <c r="G115" s="1150" t="s">
        <v>3162</v>
      </c>
      <c r="H115" s="1148" t="s">
        <v>3163</v>
      </c>
      <c r="I115" s="1148" t="s">
        <v>168</v>
      </c>
      <c r="J115" s="1148" t="s">
        <v>51</v>
      </c>
      <c r="L115" s="1148" t="s">
        <v>3164</v>
      </c>
      <c r="N115" s="1151" t="s">
        <v>3165</v>
      </c>
      <c r="O115" s="1185">
        <f>398+1263</f>
        <v>1661</v>
      </c>
      <c r="Q115" s="1148" t="s">
        <v>717</v>
      </c>
      <c r="R115" s="1501">
        <v>1</v>
      </c>
      <c r="S115" s="1150">
        <v>2</v>
      </c>
      <c r="T115" s="1150">
        <v>2</v>
      </c>
      <c r="U115" s="1154">
        <v>398</v>
      </c>
      <c r="V115" s="1149">
        <v>44599</v>
      </c>
      <c r="W115" s="1148" t="s">
        <v>1338</v>
      </c>
      <c r="X115" s="1148" t="s">
        <v>1154</v>
      </c>
      <c r="Y115" s="1501"/>
      <c r="Z115" s="1501"/>
    </row>
    <row r="116" spans="1:26" s="1148" customFormat="1" ht="12" customHeight="1">
      <c r="A116" s="1148" t="s">
        <v>1556</v>
      </c>
      <c r="B116" s="1148" t="s">
        <v>1557</v>
      </c>
      <c r="C116" s="1149">
        <v>44814</v>
      </c>
      <c r="D116" s="1149">
        <v>44821</v>
      </c>
      <c r="E116" s="1148" t="s">
        <v>1558</v>
      </c>
      <c r="G116" s="1150" t="s">
        <v>1559</v>
      </c>
      <c r="H116" s="1148" t="s">
        <v>1560</v>
      </c>
      <c r="I116" s="1148" t="s">
        <v>1561</v>
      </c>
      <c r="J116" s="1148" t="s">
        <v>180</v>
      </c>
      <c r="L116" s="1148" t="s">
        <v>1430</v>
      </c>
      <c r="M116" s="1148" t="s">
        <v>3053</v>
      </c>
      <c r="N116" s="1212" t="s">
        <v>1562</v>
      </c>
      <c r="O116" s="1152">
        <f>1590+70</f>
        <v>1660</v>
      </c>
      <c r="Q116" s="1148" t="s">
        <v>2674</v>
      </c>
      <c r="R116" s="1501">
        <v>1</v>
      </c>
      <c r="S116" s="1150">
        <v>2</v>
      </c>
      <c r="T116" s="1150">
        <v>1</v>
      </c>
      <c r="U116" s="1154">
        <v>400</v>
      </c>
      <c r="V116" s="1149">
        <v>44487</v>
      </c>
      <c r="W116" s="1148" t="s">
        <v>3054</v>
      </c>
      <c r="X116" s="1148" t="s">
        <v>1154</v>
      </c>
      <c r="Y116" s="1501" t="s">
        <v>3055</v>
      </c>
      <c r="Z116" s="1501"/>
    </row>
    <row r="117" spans="1:26" s="1148" customFormat="1">
      <c r="A117" s="1148" t="s">
        <v>3077</v>
      </c>
      <c r="B117" s="1148" t="s">
        <v>256</v>
      </c>
      <c r="C117" s="1149">
        <v>44821</v>
      </c>
      <c r="D117" s="1149">
        <v>44835</v>
      </c>
      <c r="E117" s="1211"/>
      <c r="G117" s="1150"/>
      <c r="I117" s="1148" t="s">
        <v>18</v>
      </c>
      <c r="J117" s="1148" t="s">
        <v>51</v>
      </c>
      <c r="L117" s="1148" t="s">
        <v>3078</v>
      </c>
      <c r="N117" s="1151" t="s">
        <v>3079</v>
      </c>
      <c r="O117" s="1152">
        <f>1290*2+70</f>
        <v>2650</v>
      </c>
      <c r="Q117" s="1148" t="s">
        <v>2674</v>
      </c>
      <c r="R117" s="1501">
        <v>2</v>
      </c>
      <c r="S117" s="1150">
        <v>2</v>
      </c>
      <c r="T117" s="1150">
        <v>1</v>
      </c>
      <c r="U117" s="1157">
        <v>645</v>
      </c>
      <c r="V117" s="1149">
        <v>44511</v>
      </c>
      <c r="X117" s="1148" t="s">
        <v>1154</v>
      </c>
      <c r="Y117" s="1501"/>
      <c r="Z117" s="1501"/>
    </row>
    <row r="118" spans="1:26" s="355" customFormat="1">
      <c r="A118" s="355" t="s">
        <v>3220</v>
      </c>
      <c r="B118" s="355" t="s">
        <v>3221</v>
      </c>
      <c r="C118" s="357">
        <v>44835</v>
      </c>
      <c r="D118" s="357">
        <v>44842</v>
      </c>
      <c r="E118" s="367" t="s">
        <v>3222</v>
      </c>
      <c r="G118" s="358" t="s">
        <v>3223</v>
      </c>
      <c r="H118" s="355" t="s">
        <v>720</v>
      </c>
      <c r="I118" s="355" t="s">
        <v>18</v>
      </c>
      <c r="J118" s="355" t="s">
        <v>51</v>
      </c>
      <c r="K118" s="355" t="s">
        <v>3225</v>
      </c>
      <c r="L118" s="355" t="s">
        <v>3224</v>
      </c>
      <c r="N118" s="365" t="s">
        <v>3226</v>
      </c>
      <c r="O118" s="359">
        <f>1190+48+70</f>
        <v>1308</v>
      </c>
      <c r="Q118" s="355" t="s">
        <v>3329</v>
      </c>
      <c r="R118" s="1487">
        <v>1</v>
      </c>
      <c r="S118" s="358">
        <v>2</v>
      </c>
      <c r="T118" s="358">
        <v>2</v>
      </c>
      <c r="U118" s="417">
        <v>297.5</v>
      </c>
      <c r="V118" s="357">
        <v>44835</v>
      </c>
      <c r="W118" s="355" t="s">
        <v>1338</v>
      </c>
      <c r="X118" s="355" t="s">
        <v>1154</v>
      </c>
      <c r="Y118" s="1487"/>
      <c r="Z118" s="1487"/>
    </row>
    <row r="119" spans="1:26" s="1203" customFormat="1">
      <c r="A119" s="1203" t="s">
        <v>137</v>
      </c>
      <c r="B119" s="1203" t="s">
        <v>304</v>
      </c>
      <c r="C119" s="1204">
        <v>44842</v>
      </c>
      <c r="D119" s="1204">
        <v>44849</v>
      </c>
      <c r="E119" s="1205" t="s">
        <v>3299</v>
      </c>
      <c r="G119" s="1206"/>
      <c r="H119" s="1203" t="s">
        <v>3300</v>
      </c>
      <c r="I119" s="1203" t="s">
        <v>18</v>
      </c>
      <c r="J119" s="1203" t="s">
        <v>51</v>
      </c>
      <c r="L119" s="1203" t="s">
        <v>3301</v>
      </c>
      <c r="N119" s="1937" t="s">
        <v>3302</v>
      </c>
      <c r="O119" s="1208">
        <f>1030+297.5</f>
        <v>1327.5</v>
      </c>
      <c r="Q119" s="1203" t="s">
        <v>3303</v>
      </c>
      <c r="R119" s="1506">
        <v>1</v>
      </c>
      <c r="S119" s="1206">
        <v>2</v>
      </c>
      <c r="T119" s="1206">
        <v>3</v>
      </c>
      <c r="U119" s="1209">
        <v>297.5</v>
      </c>
      <c r="V119" s="1204">
        <v>44746</v>
      </c>
      <c r="W119" s="1203" t="s">
        <v>1477</v>
      </c>
      <c r="X119" s="1203" t="s">
        <v>1154</v>
      </c>
      <c r="Y119" s="1506"/>
      <c r="Z119" s="1506"/>
    </row>
    <row r="120" spans="1:26" s="440" customFormat="1">
      <c r="A120" s="440" t="s">
        <v>3193</v>
      </c>
      <c r="B120" s="440" t="s">
        <v>3194</v>
      </c>
      <c r="C120" s="441">
        <v>44849</v>
      </c>
      <c r="D120" s="441">
        <v>44856</v>
      </c>
      <c r="E120" s="1222" t="s">
        <v>3196</v>
      </c>
      <c r="G120" s="442" t="s">
        <v>3197</v>
      </c>
      <c r="H120" s="440" t="s">
        <v>3198</v>
      </c>
      <c r="I120" s="440" t="s">
        <v>18</v>
      </c>
      <c r="J120" s="440" t="s">
        <v>51</v>
      </c>
      <c r="L120" s="440" t="s">
        <v>3199</v>
      </c>
      <c r="N120" s="1992" t="s">
        <v>3200</v>
      </c>
      <c r="O120" s="444"/>
      <c r="Q120" s="440" t="s">
        <v>3195</v>
      </c>
      <c r="R120" s="1507">
        <v>0</v>
      </c>
      <c r="S120" s="442">
        <v>3</v>
      </c>
      <c r="T120" s="442">
        <v>2</v>
      </c>
      <c r="U120" s="449"/>
      <c r="V120" s="441">
        <v>44640</v>
      </c>
      <c r="W120" s="440" t="s">
        <v>1477</v>
      </c>
      <c r="X120" s="440" t="s">
        <v>1154</v>
      </c>
      <c r="Y120" s="1507"/>
      <c r="Z120" s="1507"/>
    </row>
    <row r="121" spans="1:26" s="115" customFormat="1">
      <c r="A121" s="115" t="s">
        <v>2676</v>
      </c>
      <c r="B121" s="115" t="s">
        <v>2677</v>
      </c>
      <c r="C121" s="116">
        <v>44856</v>
      </c>
      <c r="D121" s="116">
        <v>44863</v>
      </c>
      <c r="E121" s="115" t="s">
        <v>2678</v>
      </c>
      <c r="G121" s="361" t="s">
        <v>2679</v>
      </c>
      <c r="H121" s="115" t="s">
        <v>2680</v>
      </c>
      <c r="I121" s="115" t="s">
        <v>18</v>
      </c>
      <c r="J121" s="115" t="s">
        <v>51</v>
      </c>
      <c r="K121" s="115" t="s">
        <v>2681</v>
      </c>
      <c r="L121" s="124" t="s">
        <v>2682</v>
      </c>
      <c r="N121" s="128" t="s">
        <v>2683</v>
      </c>
      <c r="O121" s="118">
        <f>1090+70+21</f>
        <v>1181</v>
      </c>
      <c r="Q121" s="115" t="s">
        <v>3095</v>
      </c>
      <c r="R121" s="1486">
        <v>1</v>
      </c>
      <c r="S121" s="361">
        <v>4</v>
      </c>
      <c r="T121" s="361">
        <v>1</v>
      </c>
      <c r="U121" s="129">
        <v>280</v>
      </c>
      <c r="V121" s="116">
        <v>44522</v>
      </c>
      <c r="W121" s="115" t="s">
        <v>3015</v>
      </c>
      <c r="X121" s="115" t="s">
        <v>1154</v>
      </c>
      <c r="Y121" s="1486"/>
      <c r="Z121" s="1486"/>
    </row>
    <row r="122" spans="1:26" s="1136" customFormat="1">
      <c r="A122" s="1136" t="s">
        <v>3331</v>
      </c>
      <c r="B122" s="1136" t="s">
        <v>2983</v>
      </c>
      <c r="C122" s="1137">
        <v>44863</v>
      </c>
      <c r="D122" s="1137">
        <v>44870</v>
      </c>
      <c r="G122" s="1139"/>
      <c r="I122" s="1136" t="s">
        <v>18</v>
      </c>
      <c r="J122" s="1136" t="s">
        <v>51</v>
      </c>
      <c r="K122" s="1136" t="s">
        <v>3332</v>
      </c>
      <c r="L122" s="1145"/>
      <c r="N122" s="1146" t="s">
        <v>3333</v>
      </c>
      <c r="O122" s="1221">
        <f>1090+3*3*7+70</f>
        <v>1223</v>
      </c>
      <c r="Q122" s="1136" t="s">
        <v>3334</v>
      </c>
      <c r="R122" s="1508">
        <v>1</v>
      </c>
      <c r="S122" s="1139">
        <v>4</v>
      </c>
      <c r="T122" s="1139">
        <v>3</v>
      </c>
      <c r="U122" s="1220"/>
      <c r="V122" s="1137">
        <v>44824</v>
      </c>
      <c r="W122" s="1136" t="s">
        <v>1477</v>
      </c>
      <c r="X122" s="1136" t="s">
        <v>1154</v>
      </c>
      <c r="Y122" s="1508"/>
      <c r="Z122" s="1508"/>
    </row>
    <row r="123" spans="1:26" s="115" customFormat="1">
      <c r="A123" s="115" t="s">
        <v>3201</v>
      </c>
      <c r="B123" s="115" t="s">
        <v>3202</v>
      </c>
      <c r="C123" s="116">
        <v>44918</v>
      </c>
      <c r="D123" s="116">
        <v>44931</v>
      </c>
      <c r="E123" s="115" t="s">
        <v>3203</v>
      </c>
      <c r="G123" s="361" t="s">
        <v>3204</v>
      </c>
      <c r="H123" s="115" t="s">
        <v>3205</v>
      </c>
      <c r="I123" s="115" t="s">
        <v>18</v>
      </c>
      <c r="J123" s="115" t="s">
        <v>51</v>
      </c>
      <c r="L123" s="124" t="s">
        <v>3206</v>
      </c>
      <c r="N123" s="128" t="s">
        <v>3207</v>
      </c>
      <c r="O123" s="118">
        <f>1290*2+70</f>
        <v>2650</v>
      </c>
      <c r="Q123" s="115" t="s">
        <v>2674</v>
      </c>
      <c r="R123" s="1486">
        <v>2</v>
      </c>
      <c r="S123" s="361">
        <v>2</v>
      </c>
      <c r="T123" s="361">
        <v>1</v>
      </c>
      <c r="U123" s="129">
        <v>645</v>
      </c>
      <c r="V123" s="116">
        <v>44660</v>
      </c>
      <c r="W123" s="115" t="s">
        <v>1477</v>
      </c>
      <c r="X123" s="115" t="s">
        <v>1154</v>
      </c>
      <c r="Y123" s="1486"/>
      <c r="Z123" s="1486"/>
    </row>
    <row r="124" spans="1:26" ht="10.8" thickBot="1">
      <c r="G124" s="132"/>
      <c r="H124" s="495"/>
      <c r="O124" s="457"/>
      <c r="S124" s="132"/>
      <c r="T124" s="132"/>
    </row>
    <row r="125" spans="1:26" ht="10.8" thickBot="1">
      <c r="A125" s="18" t="s">
        <v>3013</v>
      </c>
      <c r="B125" s="767">
        <f>SUM(O100:O124)</f>
        <v>51176.5</v>
      </c>
      <c r="C125" s="933">
        <f>B125/B90</f>
        <v>1.3988176749612005</v>
      </c>
      <c r="D125" s="791" t="s">
        <v>574</v>
      </c>
      <c r="E125" s="782"/>
      <c r="F125" s="7"/>
      <c r="G125" s="133"/>
      <c r="H125" s="49"/>
      <c r="I125" s="7"/>
      <c r="K125" s="7"/>
      <c r="L125" s="864"/>
      <c r="M125" s="7"/>
      <c r="N125" s="7"/>
      <c r="O125" s="773"/>
      <c r="P125" s="7"/>
      <c r="S125" s="133"/>
      <c r="T125" s="133"/>
      <c r="U125" s="74"/>
    </row>
    <row r="126" spans="1:26" ht="10.8" thickBot="1">
      <c r="A126" s="768" t="s">
        <v>463</v>
      </c>
      <c r="B126" s="922">
        <f>SUM(R100:R129)</f>
        <v>35</v>
      </c>
      <c r="C126" s="783">
        <f>B125/B126</f>
        <v>1462.1857142857143</v>
      </c>
      <c r="D126" s="17" t="s">
        <v>575</v>
      </c>
      <c r="E126" s="13"/>
      <c r="F126" s="7"/>
      <c r="G126" s="133"/>
      <c r="I126" s="7"/>
      <c r="K126" s="404"/>
      <c r="M126" s="7"/>
      <c r="O126" s="773"/>
      <c r="P126" s="7"/>
      <c r="S126" s="133"/>
      <c r="T126" s="133"/>
      <c r="U126" s="74"/>
    </row>
    <row r="127" spans="1:26" ht="10.8" thickBot="1">
      <c r="A127" s="7"/>
      <c r="B127" s="7"/>
      <c r="C127" s="29"/>
      <c r="D127" s="17" t="s">
        <v>576</v>
      </c>
      <c r="E127" s="13"/>
      <c r="F127" s="7"/>
      <c r="G127" s="133"/>
      <c r="H127" s="495"/>
      <c r="I127" s="7"/>
      <c r="K127" s="404"/>
      <c r="L127" s="495"/>
      <c r="M127" s="7"/>
      <c r="O127" s="773">
        <f>(O113+O114+O115+O116+O117+O118+O119+O120+O121+O123)*0.75</f>
        <v>15403.125</v>
      </c>
      <c r="P127" s="7"/>
      <c r="Q127" s="862">
        <f>O118-U118</f>
        <v>1010.5</v>
      </c>
      <c r="S127" s="133"/>
      <c r="T127" s="133"/>
      <c r="U127" s="7"/>
    </row>
    <row r="128" spans="1:26" ht="10.8" thickBot="1">
      <c r="A128" s="18" t="s">
        <v>464</v>
      </c>
      <c r="B128" s="851">
        <f>(1788.54+225.66)*12</f>
        <v>24170.400000000001</v>
      </c>
      <c r="C128" s="29"/>
      <c r="D128" s="17" t="s">
        <v>1304</v>
      </c>
      <c r="E128" s="13"/>
      <c r="F128" s="7" t="s">
        <v>3209</v>
      </c>
      <c r="G128" s="132">
        <v>2000</v>
      </c>
      <c r="H128" s="495"/>
      <c r="I128" s="7"/>
      <c r="J128" s="7"/>
      <c r="K128" s="404"/>
      <c r="L128" s="404"/>
      <c r="M128" s="7"/>
      <c r="O128" s="439"/>
      <c r="P128" s="7"/>
      <c r="S128" s="133"/>
      <c r="T128" s="133"/>
      <c r="U128" s="7"/>
    </row>
    <row r="129" spans="1:26" ht="10.8" thickBot="1">
      <c r="A129" s="852" t="s">
        <v>574</v>
      </c>
      <c r="B129" s="853">
        <f>E131</f>
        <v>0</v>
      </c>
      <c r="C129" s="29"/>
      <c r="D129" s="17" t="s">
        <v>577</v>
      </c>
      <c r="E129" s="13"/>
      <c r="F129" s="7"/>
      <c r="G129" s="133"/>
      <c r="H129" s="495"/>
      <c r="I129" s="7"/>
      <c r="J129" s="7"/>
      <c r="K129" s="49"/>
      <c r="L129" s="49"/>
      <c r="M129" s="7"/>
      <c r="N129" s="1111"/>
      <c r="O129" s="773"/>
      <c r="P129" s="7"/>
      <c r="S129" s="133"/>
      <c r="T129" s="133"/>
      <c r="U129" s="7"/>
    </row>
    <row r="130" spans="1:26" ht="10.8" thickBot="1">
      <c r="A130" s="510" t="s">
        <v>1534</v>
      </c>
      <c r="B130" s="854">
        <f>B125-B128-B129</f>
        <v>27006.1</v>
      </c>
      <c r="C130" s="29"/>
      <c r="D130" s="786" t="s">
        <v>578</v>
      </c>
      <c r="E130" s="541"/>
      <c r="F130" s="7"/>
      <c r="G130" s="133"/>
      <c r="H130" s="495"/>
      <c r="I130" s="7"/>
      <c r="J130" s="7"/>
      <c r="M130" s="7"/>
      <c r="N130" s="7"/>
      <c r="O130" s="773"/>
      <c r="P130" s="7"/>
      <c r="S130" s="133"/>
      <c r="T130" s="133"/>
      <c r="U130" s="7"/>
    </row>
    <row r="131" spans="1:26">
      <c r="O131" s="457"/>
    </row>
    <row r="134" spans="1:26">
      <c r="A134" s="9" t="s">
        <v>3210</v>
      </c>
      <c r="B134" s="856"/>
      <c r="C134" s="1114"/>
      <c r="E134" s="1114"/>
      <c r="G134" s="857"/>
      <c r="H134" s="856"/>
      <c r="I134" s="856"/>
      <c r="J134" s="856"/>
      <c r="K134" s="856"/>
      <c r="L134" s="856"/>
      <c r="M134" s="856"/>
      <c r="N134" s="856"/>
      <c r="O134" s="856"/>
      <c r="P134" s="856"/>
      <c r="Q134" s="856"/>
      <c r="R134" s="858"/>
      <c r="S134" s="857"/>
      <c r="T134" s="857"/>
      <c r="U134" s="858"/>
      <c r="V134" s="1541"/>
      <c r="W134" s="856"/>
      <c r="X134" s="856"/>
    </row>
    <row r="135" spans="1:26" s="1418" customFormat="1">
      <c r="A135" s="1418" t="s">
        <v>3045</v>
      </c>
      <c r="B135" s="1418" t="s">
        <v>596</v>
      </c>
      <c r="C135" s="1419">
        <v>44996</v>
      </c>
      <c r="D135" s="1419">
        <v>45017</v>
      </c>
      <c r="E135" s="1418" t="s">
        <v>3046</v>
      </c>
      <c r="G135" s="1420" t="s">
        <v>3047</v>
      </c>
      <c r="H135" s="1418" t="s">
        <v>3048</v>
      </c>
      <c r="I135" s="1418" t="s">
        <v>18</v>
      </c>
      <c r="J135" s="1418" t="s">
        <v>51</v>
      </c>
      <c r="L135" s="1421" t="s">
        <v>3050</v>
      </c>
      <c r="N135" s="1422" t="s">
        <v>3049</v>
      </c>
      <c r="O135" s="1423">
        <f>818+2648</f>
        <v>3466</v>
      </c>
      <c r="Q135" s="1418" t="s">
        <v>717</v>
      </c>
      <c r="R135" s="1509">
        <v>3</v>
      </c>
      <c r="S135" s="1420">
        <v>2</v>
      </c>
      <c r="T135" s="1420">
        <v>2</v>
      </c>
      <c r="U135" s="1424">
        <v>818</v>
      </c>
      <c r="V135" s="1419">
        <v>44670</v>
      </c>
      <c r="W135" s="1418" t="s">
        <v>3208</v>
      </c>
      <c r="X135" s="1418" t="s">
        <v>1154</v>
      </c>
      <c r="Y135" s="1509"/>
      <c r="Z135" s="1509"/>
    </row>
    <row r="136" spans="1:26" s="1447" customFormat="1">
      <c r="A136" s="1447" t="s">
        <v>3484</v>
      </c>
      <c r="B136" s="1447" t="s">
        <v>2793</v>
      </c>
      <c r="C136" s="1448">
        <v>45017</v>
      </c>
      <c r="D136" s="1448">
        <v>45024</v>
      </c>
      <c r="E136" s="1447" t="s">
        <v>2796</v>
      </c>
      <c r="G136" s="1449" t="s">
        <v>2798</v>
      </c>
      <c r="H136" s="1447" t="s">
        <v>2797</v>
      </c>
      <c r="I136" s="1447" t="s">
        <v>18</v>
      </c>
      <c r="J136" s="1447" t="s">
        <v>51</v>
      </c>
      <c r="K136" s="1447" t="s">
        <v>2794</v>
      </c>
      <c r="L136" s="1450" t="s">
        <v>2799</v>
      </c>
      <c r="N136" s="1993" t="s">
        <v>2795</v>
      </c>
      <c r="O136" s="1451">
        <f>1190+70+42</f>
        <v>1302</v>
      </c>
      <c r="Q136" s="1447" t="s">
        <v>717</v>
      </c>
      <c r="R136" s="1510">
        <v>1</v>
      </c>
      <c r="S136" s="1449">
        <v>2</v>
      </c>
      <c r="T136" s="1449">
        <v>2</v>
      </c>
      <c r="U136" s="1452">
        <v>297.5</v>
      </c>
      <c r="V136" s="1448">
        <v>44933</v>
      </c>
      <c r="W136" s="1447" t="s">
        <v>1477</v>
      </c>
      <c r="X136" s="1447" t="s">
        <v>1154</v>
      </c>
      <c r="Y136" s="1510" t="s">
        <v>3447</v>
      </c>
      <c r="Z136" s="1510"/>
    </row>
    <row r="137" spans="1:26" s="1447" customFormat="1">
      <c r="A137" s="1447" t="s">
        <v>3483</v>
      </c>
      <c r="B137" s="1447" t="s">
        <v>682</v>
      </c>
      <c r="C137" s="1448">
        <v>45024</v>
      </c>
      <c r="D137" s="1448">
        <v>45031</v>
      </c>
      <c r="E137" s="1447" t="s">
        <v>3441</v>
      </c>
      <c r="G137" s="1449" t="s">
        <v>3442</v>
      </c>
      <c r="H137" s="1447" t="s">
        <v>2307</v>
      </c>
      <c r="I137" s="1447" t="s">
        <v>18</v>
      </c>
      <c r="J137" s="1447" t="s">
        <v>51</v>
      </c>
      <c r="L137" s="1450" t="s">
        <v>3443</v>
      </c>
      <c r="N137" s="1993" t="s">
        <v>3444</v>
      </c>
      <c r="O137" s="1451">
        <f>300+981</f>
        <v>1281</v>
      </c>
      <c r="Q137" s="1447" t="s">
        <v>1244</v>
      </c>
      <c r="R137" s="1510">
        <v>1</v>
      </c>
      <c r="S137" s="1449">
        <v>4</v>
      </c>
      <c r="T137" s="1449">
        <v>1</v>
      </c>
      <c r="U137" s="1452">
        <v>300</v>
      </c>
      <c r="V137" s="1448">
        <v>44962</v>
      </c>
      <c r="W137" s="1447" t="s">
        <v>1477</v>
      </c>
      <c r="X137" s="1447" t="s">
        <v>1154</v>
      </c>
      <c r="Y137" s="1510" t="s">
        <v>3445</v>
      </c>
      <c r="Z137" s="1510"/>
    </row>
    <row r="138" spans="1:26" s="1447" customFormat="1">
      <c r="A138" s="1447" t="s">
        <v>3473</v>
      </c>
      <c r="B138" s="1447" t="s">
        <v>3474</v>
      </c>
      <c r="C138" s="1448">
        <v>45031</v>
      </c>
      <c r="D138" s="1448">
        <v>45038</v>
      </c>
      <c r="E138" s="1447" t="s">
        <v>3475</v>
      </c>
      <c r="G138" s="1449" t="s">
        <v>3476</v>
      </c>
      <c r="H138" s="1447" t="s">
        <v>3477</v>
      </c>
      <c r="I138" s="1447" t="s">
        <v>18</v>
      </c>
      <c r="J138" s="1447" t="s">
        <v>51</v>
      </c>
      <c r="L138" s="1450" t="s">
        <v>3478</v>
      </c>
      <c r="N138" s="1993" t="s">
        <v>3479</v>
      </c>
      <c r="O138" s="1451">
        <v>1190</v>
      </c>
      <c r="Q138" s="1447" t="s">
        <v>717</v>
      </c>
      <c r="R138" s="1510">
        <v>1</v>
      </c>
      <c r="S138" s="1449">
        <v>2</v>
      </c>
      <c r="T138" s="1449">
        <v>2</v>
      </c>
      <c r="U138" s="1452">
        <v>297.5</v>
      </c>
      <c r="V138" s="1448">
        <v>45010</v>
      </c>
      <c r="W138" s="1447" t="s">
        <v>1665</v>
      </c>
      <c r="X138" s="1447" t="s">
        <v>1154</v>
      </c>
      <c r="Y138" s="1510" t="s">
        <v>3481</v>
      </c>
      <c r="Z138" s="1510"/>
    </row>
    <row r="139" spans="1:26" s="1439" customFormat="1">
      <c r="A139" s="1439" t="s">
        <v>2841</v>
      </c>
      <c r="B139" s="1439" t="s">
        <v>2967</v>
      </c>
      <c r="C139" s="1440">
        <v>45045</v>
      </c>
      <c r="D139" s="1440">
        <v>45066</v>
      </c>
      <c r="E139" s="1441" t="s">
        <v>2842</v>
      </c>
      <c r="G139" s="1441" t="s">
        <v>2843</v>
      </c>
      <c r="H139" s="1439" t="s">
        <v>2844</v>
      </c>
      <c r="I139" s="1439" t="s">
        <v>54</v>
      </c>
      <c r="J139" s="1439" t="s">
        <v>19</v>
      </c>
      <c r="K139" s="1439" t="s">
        <v>2846</v>
      </c>
      <c r="L139" s="1441" t="s">
        <v>2845</v>
      </c>
      <c r="N139" s="1993" t="s">
        <v>2847</v>
      </c>
      <c r="O139" s="1442">
        <f>1290+1290+1390</f>
        <v>3970</v>
      </c>
      <c r="Q139" s="1439" t="s">
        <v>717</v>
      </c>
      <c r="R139" s="1511">
        <v>3</v>
      </c>
      <c r="S139" s="1443">
        <v>2</v>
      </c>
      <c r="T139" s="1443">
        <v>2</v>
      </c>
      <c r="U139" s="1444">
        <v>993</v>
      </c>
      <c r="V139" s="1440">
        <v>44688</v>
      </c>
      <c r="W139" s="1439" t="s">
        <v>3227</v>
      </c>
      <c r="X139" s="1439" t="s">
        <v>1154</v>
      </c>
      <c r="Y139" s="1511" t="s">
        <v>3258</v>
      </c>
      <c r="Z139" s="1511"/>
    </row>
    <row r="140" spans="1:26" s="1439" customFormat="1">
      <c r="A140" s="1439" t="s">
        <v>2743</v>
      </c>
      <c r="B140" s="1439" t="s">
        <v>2742</v>
      </c>
      <c r="C140" s="1440">
        <v>45066</v>
      </c>
      <c r="D140" s="1440">
        <v>45087</v>
      </c>
      <c r="E140" s="1441" t="s">
        <v>2744</v>
      </c>
      <c r="G140" s="1441" t="s">
        <v>2745</v>
      </c>
      <c r="H140" s="1439" t="s">
        <v>2746</v>
      </c>
      <c r="I140" s="1439" t="s">
        <v>18</v>
      </c>
      <c r="J140" s="1439" t="s">
        <v>51</v>
      </c>
      <c r="L140" s="1441" t="s">
        <v>2747</v>
      </c>
      <c r="N140" s="1993" t="s">
        <v>2748</v>
      </c>
      <c r="O140" s="1442">
        <f xml:space="preserve"> 1390+1390+1590</f>
        <v>4370</v>
      </c>
      <c r="Q140" s="1439" t="s">
        <v>3260</v>
      </c>
      <c r="R140" s="1511">
        <v>3</v>
      </c>
      <c r="S140" s="1443">
        <v>1</v>
      </c>
      <c r="T140" s="1443">
        <v>2</v>
      </c>
      <c r="U140" s="1444">
        <v>1000</v>
      </c>
      <c r="V140" s="1440">
        <v>44111</v>
      </c>
      <c r="W140" s="1439" t="s">
        <v>3208</v>
      </c>
      <c r="X140" s="1439" t="s">
        <v>1154</v>
      </c>
      <c r="Y140" s="1511" t="s">
        <v>3259</v>
      </c>
      <c r="Z140" s="1511"/>
    </row>
    <row r="141" spans="1:26" s="355" customFormat="1">
      <c r="A141" s="355" t="s">
        <v>3265</v>
      </c>
      <c r="B141" s="355" t="s">
        <v>3264</v>
      </c>
      <c r="C141" s="357">
        <v>45087</v>
      </c>
      <c r="D141" s="357">
        <v>45101</v>
      </c>
      <c r="E141" s="934" t="s">
        <v>3266</v>
      </c>
      <c r="G141" s="934" t="s">
        <v>3267</v>
      </c>
      <c r="H141" s="355" t="s">
        <v>3268</v>
      </c>
      <c r="I141" s="355" t="s">
        <v>18</v>
      </c>
      <c r="J141" s="355" t="s">
        <v>51</v>
      </c>
      <c r="L141" s="934" t="s">
        <v>3269</v>
      </c>
      <c r="N141" s="365" t="s">
        <v>3270</v>
      </c>
      <c r="O141" s="359">
        <f>1590+1990</f>
        <v>3580</v>
      </c>
      <c r="Q141" s="355" t="s">
        <v>3271</v>
      </c>
      <c r="R141" s="1487">
        <v>2</v>
      </c>
      <c r="S141" s="358">
        <v>3</v>
      </c>
      <c r="T141" s="358">
        <v>1</v>
      </c>
      <c r="U141" s="1461">
        <v>895</v>
      </c>
      <c r="V141" s="357">
        <v>45093</v>
      </c>
      <c r="X141" s="355" t="s">
        <v>1154</v>
      </c>
      <c r="Y141" s="1487" t="s">
        <v>3272</v>
      </c>
      <c r="Z141" s="1487"/>
    </row>
    <row r="142" spans="1:26" s="355" customFormat="1">
      <c r="A142" s="355" t="s">
        <v>3305</v>
      </c>
      <c r="B142" s="355" t="s">
        <v>3517</v>
      </c>
      <c r="C142" s="357">
        <v>45101</v>
      </c>
      <c r="D142" s="357">
        <v>45122</v>
      </c>
      <c r="E142" s="355" t="s">
        <v>3307</v>
      </c>
      <c r="G142" s="355" t="s">
        <v>3308</v>
      </c>
      <c r="H142" s="355" t="s">
        <v>187</v>
      </c>
      <c r="I142" s="355" t="s">
        <v>18</v>
      </c>
      <c r="J142" s="355" t="s">
        <v>51</v>
      </c>
      <c r="K142" s="355" t="s">
        <v>3310</v>
      </c>
      <c r="L142" s="355" t="s">
        <v>3309</v>
      </c>
      <c r="N142" s="365" t="s">
        <v>3311</v>
      </c>
      <c r="O142" s="359">
        <f>2490*2+1500</f>
        <v>6480</v>
      </c>
      <c r="Q142" s="355" t="s">
        <v>3312</v>
      </c>
      <c r="R142" s="1487">
        <v>3</v>
      </c>
      <c r="S142" s="358">
        <v>6</v>
      </c>
      <c r="T142" s="358">
        <v>2</v>
      </c>
      <c r="U142" s="1461">
        <f>1245+375</f>
        <v>1620</v>
      </c>
      <c r="V142" s="357">
        <v>44754</v>
      </c>
      <c r="W142" s="355" t="s">
        <v>1665</v>
      </c>
      <c r="X142" s="355" t="s">
        <v>3518</v>
      </c>
      <c r="Y142" s="1487" t="s">
        <v>3519</v>
      </c>
      <c r="Z142" s="1487"/>
    </row>
    <row r="143" spans="1:26" s="820" customFormat="1">
      <c r="A143" s="820" t="s">
        <v>3374</v>
      </c>
      <c r="B143" s="820" t="s">
        <v>1772</v>
      </c>
      <c r="C143" s="821">
        <v>45122</v>
      </c>
      <c r="D143" s="821">
        <v>45136</v>
      </c>
      <c r="E143" s="820" t="s">
        <v>3375</v>
      </c>
      <c r="G143" s="820" t="s">
        <v>3376</v>
      </c>
      <c r="H143" s="820" t="s">
        <v>3377</v>
      </c>
      <c r="I143" s="820" t="s">
        <v>18</v>
      </c>
      <c r="J143" s="820" t="s">
        <v>51</v>
      </c>
      <c r="K143" s="820" t="s">
        <v>3378</v>
      </c>
      <c r="L143" s="1466" t="s">
        <v>3413</v>
      </c>
      <c r="N143" s="823" t="s">
        <v>3379</v>
      </c>
      <c r="O143" s="1467">
        <f>2490*2</f>
        <v>4980</v>
      </c>
      <c r="Q143" s="820" t="s">
        <v>3380</v>
      </c>
      <c r="R143" s="1512">
        <v>2</v>
      </c>
      <c r="S143" s="822">
        <v>6</v>
      </c>
      <c r="T143" s="822">
        <v>2</v>
      </c>
      <c r="U143" s="1468">
        <f>1245+1867.5</f>
        <v>3112.5</v>
      </c>
      <c r="V143" s="821">
        <v>44925</v>
      </c>
      <c r="W143" s="820" t="s">
        <v>1338</v>
      </c>
      <c r="X143" s="820" t="s">
        <v>1154</v>
      </c>
      <c r="Y143" s="1512" t="s">
        <v>3398</v>
      </c>
      <c r="Z143" s="1512"/>
    </row>
    <row r="144" spans="1:26" s="820" customFormat="1" ht="11.4">
      <c r="A144" s="820" t="s">
        <v>3411</v>
      </c>
      <c r="B144" s="820" t="s">
        <v>3414</v>
      </c>
      <c r="C144" s="821">
        <v>45136</v>
      </c>
      <c r="D144" s="821">
        <v>45148</v>
      </c>
      <c r="I144" s="820" t="s">
        <v>18</v>
      </c>
      <c r="J144" s="820" t="s">
        <v>51</v>
      </c>
      <c r="K144" s="820" t="s">
        <v>3421</v>
      </c>
      <c r="L144" s="1478" t="s">
        <v>3415</v>
      </c>
      <c r="N144" s="823" t="s">
        <v>3412</v>
      </c>
      <c r="O144" s="1467">
        <f>2490*2+70</f>
        <v>5050</v>
      </c>
      <c r="Q144" s="820" t="s">
        <v>3416</v>
      </c>
      <c r="R144" s="1512">
        <v>2</v>
      </c>
      <c r="S144" s="822">
        <v>5</v>
      </c>
      <c r="T144" s="822">
        <v>1</v>
      </c>
      <c r="U144" s="1468">
        <f>1245+2805</f>
        <v>4050</v>
      </c>
      <c r="V144" s="821">
        <v>44941</v>
      </c>
      <c r="W144" s="820" t="s">
        <v>1477</v>
      </c>
      <c r="X144" s="820" t="s">
        <v>1154</v>
      </c>
      <c r="Y144" s="1512"/>
      <c r="Z144" s="1512"/>
    </row>
    <row r="145" spans="1:26" s="115" customFormat="1" ht="14.4">
      <c r="A145" s="115" t="s">
        <v>3449</v>
      </c>
      <c r="B145" s="115" t="s">
        <v>3450</v>
      </c>
      <c r="C145" s="116">
        <v>45150</v>
      </c>
      <c r="D145" s="116">
        <v>45157</v>
      </c>
      <c r="I145" s="115" t="s">
        <v>23</v>
      </c>
      <c r="J145" s="115" t="s">
        <v>19</v>
      </c>
      <c r="L145" s="1438" t="s">
        <v>3452</v>
      </c>
      <c r="N145" s="128" t="s">
        <v>3451</v>
      </c>
      <c r="O145" s="118">
        <f>622.5+1850</f>
        <v>2472.5</v>
      </c>
      <c r="Q145" s="115" t="s">
        <v>3453</v>
      </c>
      <c r="R145" s="1486">
        <v>1</v>
      </c>
      <c r="S145" s="361">
        <v>4</v>
      </c>
      <c r="T145" s="361">
        <v>0</v>
      </c>
      <c r="U145" s="1134">
        <f>2490/4</f>
        <v>622.5</v>
      </c>
      <c r="V145" s="116">
        <v>44971</v>
      </c>
      <c r="W145" s="115" t="s">
        <v>1665</v>
      </c>
      <c r="X145" s="115" t="s">
        <v>1154</v>
      </c>
      <c r="Y145" s="1486"/>
      <c r="Z145" s="1486"/>
    </row>
    <row r="146" spans="1:26" s="820" customFormat="1" ht="13.2">
      <c r="A146" s="820" t="s">
        <v>3461</v>
      </c>
      <c r="B146" s="820" t="s">
        <v>3563</v>
      </c>
      <c r="C146" s="821">
        <v>45157</v>
      </c>
      <c r="D146" s="821">
        <v>45164</v>
      </c>
      <c r="E146" s="1479" t="s">
        <v>3463</v>
      </c>
      <c r="G146" s="820" t="s">
        <v>3464</v>
      </c>
      <c r="H146" s="820" t="s">
        <v>3465</v>
      </c>
      <c r="I146" s="820" t="s">
        <v>18</v>
      </c>
      <c r="J146" s="820" t="s">
        <v>51</v>
      </c>
      <c r="L146" s="1479" t="s">
        <v>3466</v>
      </c>
      <c r="N146" s="823" t="s">
        <v>3462</v>
      </c>
      <c r="O146" s="1467">
        <v>2490</v>
      </c>
      <c r="Q146" s="820" t="s">
        <v>3467</v>
      </c>
      <c r="R146" s="1512">
        <v>1</v>
      </c>
      <c r="S146" s="822" t="s">
        <v>317</v>
      </c>
      <c r="T146" s="822">
        <v>1</v>
      </c>
      <c r="U146" s="1468">
        <v>650</v>
      </c>
      <c r="V146" s="821">
        <v>44999</v>
      </c>
      <c r="W146" s="820" t="s">
        <v>1338</v>
      </c>
      <c r="X146" s="820" t="s">
        <v>1154</v>
      </c>
      <c r="Y146" s="1512" t="s">
        <v>3480</v>
      </c>
      <c r="Z146" s="1512"/>
    </row>
    <row r="147" spans="1:26" s="355" customFormat="1" ht="11.4">
      <c r="A147" s="355" t="s">
        <v>3429</v>
      </c>
      <c r="B147" s="355" t="s">
        <v>3430</v>
      </c>
      <c r="C147" s="357">
        <v>45164</v>
      </c>
      <c r="D147" s="357">
        <v>45178</v>
      </c>
      <c r="E147" s="355" t="s">
        <v>3431</v>
      </c>
      <c r="G147" s="355" t="s">
        <v>3432</v>
      </c>
      <c r="H147" s="355" t="s">
        <v>937</v>
      </c>
      <c r="I147" s="355" t="s">
        <v>18</v>
      </c>
      <c r="J147" s="355" t="s">
        <v>1023</v>
      </c>
      <c r="L147" s="1513" t="s">
        <v>3433</v>
      </c>
      <c r="N147" s="365" t="s">
        <v>3446</v>
      </c>
      <c r="O147" s="359">
        <f>2190+2090</f>
        <v>4280</v>
      </c>
      <c r="Q147" s="355" t="s">
        <v>3434</v>
      </c>
      <c r="R147" s="1487">
        <v>2</v>
      </c>
      <c r="S147" s="358">
        <v>4</v>
      </c>
      <c r="T147" s="358">
        <v>1</v>
      </c>
      <c r="U147" s="1461">
        <v>1070</v>
      </c>
      <c r="V147" s="357">
        <v>44955</v>
      </c>
      <c r="W147" s="355" t="s">
        <v>1477</v>
      </c>
      <c r="X147" s="355" t="s">
        <v>1154</v>
      </c>
      <c r="Y147" s="1487" t="s">
        <v>3448</v>
      </c>
      <c r="Z147" s="1487"/>
    </row>
    <row r="148" spans="1:26" s="355" customFormat="1" ht="11.4">
      <c r="A148" s="355" t="s">
        <v>3435</v>
      </c>
      <c r="B148" s="355" t="s">
        <v>3436</v>
      </c>
      <c r="C148" s="357">
        <v>45164</v>
      </c>
      <c r="D148" s="357">
        <v>45178</v>
      </c>
      <c r="E148" s="355" t="s">
        <v>3437</v>
      </c>
      <c r="G148" s="355" t="s">
        <v>3438</v>
      </c>
      <c r="H148" s="355" t="s">
        <v>937</v>
      </c>
      <c r="I148" s="355" t="s">
        <v>18</v>
      </c>
      <c r="J148" s="355" t="s">
        <v>51</v>
      </c>
      <c r="L148" s="1513" t="s">
        <v>3439</v>
      </c>
      <c r="N148" s="365" t="s">
        <v>3440</v>
      </c>
      <c r="O148" s="359">
        <v>0</v>
      </c>
      <c r="Q148" s="355" t="s">
        <v>3434</v>
      </c>
      <c r="R148" s="1487">
        <v>2</v>
      </c>
      <c r="S148" s="358">
        <v>4</v>
      </c>
      <c r="T148" s="358">
        <v>1</v>
      </c>
      <c r="U148" s="1461"/>
      <c r="V148" s="357">
        <v>44955</v>
      </c>
      <c r="W148" s="355" t="s">
        <v>1477</v>
      </c>
      <c r="X148" s="355" t="s">
        <v>1154</v>
      </c>
      <c r="Y148" s="1487"/>
      <c r="Z148" s="1487"/>
    </row>
    <row r="149" spans="1:26" s="900" customFormat="1">
      <c r="A149" s="900" t="s">
        <v>3239</v>
      </c>
      <c r="B149" s="900" t="s">
        <v>511</v>
      </c>
      <c r="C149" s="901">
        <v>45171</v>
      </c>
      <c r="D149" s="901">
        <v>45178</v>
      </c>
      <c r="E149" s="900" t="s">
        <v>3240</v>
      </c>
      <c r="G149" s="900" t="s">
        <v>1955</v>
      </c>
      <c r="H149" s="900" t="s">
        <v>3241</v>
      </c>
      <c r="I149" s="900" t="s">
        <v>18</v>
      </c>
      <c r="J149" s="900" t="s">
        <v>1023</v>
      </c>
      <c r="L149" s="900" t="s">
        <v>3242</v>
      </c>
      <c r="N149" s="903" t="s">
        <v>3427</v>
      </c>
      <c r="O149" s="904">
        <v>500</v>
      </c>
      <c r="Q149" s="900" t="s">
        <v>3243</v>
      </c>
      <c r="R149" s="1497">
        <v>0</v>
      </c>
      <c r="S149" s="902">
        <v>3</v>
      </c>
      <c r="T149" s="902"/>
      <c r="U149" s="1522">
        <v>500</v>
      </c>
      <c r="V149" s="901">
        <v>44696</v>
      </c>
      <c r="X149" s="900" t="s">
        <v>1154</v>
      </c>
      <c r="Y149" s="1497" t="s">
        <v>3261</v>
      </c>
      <c r="Z149" s="1497" t="s">
        <v>3428</v>
      </c>
    </row>
    <row r="150" spans="1:26" s="820" customFormat="1" ht="12" customHeight="1">
      <c r="A150" s="820" t="s">
        <v>1556</v>
      </c>
      <c r="B150" s="820" t="s">
        <v>1557</v>
      </c>
      <c r="C150" s="821">
        <v>45185</v>
      </c>
      <c r="D150" s="821">
        <v>45192</v>
      </c>
      <c r="E150" s="820" t="s">
        <v>1558</v>
      </c>
      <c r="G150" s="822" t="s">
        <v>1559</v>
      </c>
      <c r="H150" s="820" t="s">
        <v>1560</v>
      </c>
      <c r="I150" s="820" t="s">
        <v>1561</v>
      </c>
      <c r="J150" s="820" t="s">
        <v>180</v>
      </c>
      <c r="L150" s="820" t="s">
        <v>1430</v>
      </c>
      <c r="M150" s="820" t="s">
        <v>3053</v>
      </c>
      <c r="N150" s="823" t="s">
        <v>1562</v>
      </c>
      <c r="O150" s="1467">
        <f>1590+600+70+21</f>
        <v>2281</v>
      </c>
      <c r="Q150" s="820" t="s">
        <v>2674</v>
      </c>
      <c r="R150" s="1512">
        <v>1.5</v>
      </c>
      <c r="S150" s="822">
        <v>2</v>
      </c>
      <c r="T150" s="822">
        <v>1</v>
      </c>
      <c r="U150" s="824">
        <v>400</v>
      </c>
      <c r="V150" s="821">
        <v>44846</v>
      </c>
      <c r="W150" s="820" t="s">
        <v>3054</v>
      </c>
      <c r="X150" s="820" t="s">
        <v>1154</v>
      </c>
      <c r="Y150" s="1512" t="s">
        <v>3055</v>
      </c>
      <c r="Z150" s="1512"/>
    </row>
    <row r="151" spans="1:26" s="820" customFormat="1" ht="12" customHeight="1">
      <c r="A151" s="820" t="s">
        <v>3601</v>
      </c>
      <c r="B151" s="820" t="s">
        <v>3589</v>
      </c>
      <c r="C151" s="821">
        <v>45199</v>
      </c>
      <c r="D151" s="821">
        <v>45220</v>
      </c>
      <c r="E151" s="1517" t="s">
        <v>3341</v>
      </c>
      <c r="G151" s="822" t="s">
        <v>3344</v>
      </c>
      <c r="H151" s="1517" t="s">
        <v>3343</v>
      </c>
      <c r="I151" s="820" t="s">
        <v>168</v>
      </c>
      <c r="J151" s="820" t="s">
        <v>1023</v>
      </c>
      <c r="L151" s="1483" t="s">
        <v>3345</v>
      </c>
      <c r="N151" s="823" t="s">
        <v>3342</v>
      </c>
      <c r="O151" s="1026">
        <f>1290*3+70+21*3</f>
        <v>4003</v>
      </c>
      <c r="Q151" s="820" t="s">
        <v>3338</v>
      </c>
      <c r="R151" s="1512">
        <v>3</v>
      </c>
      <c r="S151" s="822">
        <v>2</v>
      </c>
      <c r="T151" s="822">
        <v>1</v>
      </c>
      <c r="U151" s="1459">
        <v>1000</v>
      </c>
      <c r="V151" s="821">
        <v>44844</v>
      </c>
      <c r="W151" s="820" t="s">
        <v>3347</v>
      </c>
      <c r="X151" s="820" t="s">
        <v>1154</v>
      </c>
      <c r="Y151" s="1512" t="s">
        <v>3348</v>
      </c>
      <c r="Z151" s="1512"/>
    </row>
    <row r="152" spans="1:26" s="820" customFormat="1" ht="12" customHeight="1">
      <c r="A152" s="820" t="s">
        <v>3649</v>
      </c>
      <c r="B152" s="820" t="s">
        <v>3508</v>
      </c>
      <c r="C152" s="821">
        <v>45220</v>
      </c>
      <c r="D152" s="821">
        <v>45227</v>
      </c>
      <c r="E152" s="1517" t="s">
        <v>3511</v>
      </c>
      <c r="G152" s="822">
        <v>62236</v>
      </c>
      <c r="H152" s="1517" t="s">
        <v>3512</v>
      </c>
      <c r="I152" s="820" t="s">
        <v>23</v>
      </c>
      <c r="J152" s="820" t="s">
        <v>2568</v>
      </c>
      <c r="K152" s="820" t="s">
        <v>3514</v>
      </c>
      <c r="L152" s="1483" t="s">
        <v>3513</v>
      </c>
      <c r="N152" s="823" t="s">
        <v>3509</v>
      </c>
      <c r="O152" s="1026">
        <f>1290+42+70</f>
        <v>1402</v>
      </c>
      <c r="Q152" s="820" t="s">
        <v>1192</v>
      </c>
      <c r="R152" s="1512">
        <v>1</v>
      </c>
      <c r="S152" s="822">
        <v>2</v>
      </c>
      <c r="T152" s="822">
        <v>2</v>
      </c>
      <c r="U152" s="1459">
        <v>333</v>
      </c>
      <c r="V152" s="821">
        <v>45064</v>
      </c>
      <c r="W152" s="820" t="s">
        <v>3510</v>
      </c>
      <c r="X152" s="820" t="s">
        <v>1154</v>
      </c>
      <c r="Y152" s="1512"/>
      <c r="Z152" s="1512"/>
    </row>
    <row r="153" spans="1:26" s="355" customFormat="1" ht="12" customHeight="1">
      <c r="A153" s="355" t="s">
        <v>3543</v>
      </c>
      <c r="B153" s="355" t="s">
        <v>2481</v>
      </c>
      <c r="C153" s="357">
        <v>45233</v>
      </c>
      <c r="D153" s="357">
        <v>45247</v>
      </c>
      <c r="E153" s="1555"/>
      <c r="G153" s="358"/>
      <c r="H153" s="1555"/>
      <c r="J153" s="355" t="s">
        <v>51</v>
      </c>
      <c r="L153" s="1513" t="s">
        <v>3545</v>
      </c>
      <c r="N153" s="365" t="s">
        <v>3544</v>
      </c>
      <c r="O153" s="1036">
        <f>545+1750</f>
        <v>2295</v>
      </c>
      <c r="Q153" s="355" t="s">
        <v>3338</v>
      </c>
      <c r="R153" s="1487">
        <v>2</v>
      </c>
      <c r="S153" s="358">
        <v>2</v>
      </c>
      <c r="T153" s="358"/>
      <c r="U153" s="417">
        <v>545</v>
      </c>
      <c r="V153" s="357">
        <v>45137</v>
      </c>
      <c r="W153" s="355" t="s">
        <v>1477</v>
      </c>
      <c r="Y153" s="1487"/>
      <c r="Z153" s="1487"/>
    </row>
    <row r="154" spans="1:26" s="900" customFormat="1">
      <c r="A154" s="900" t="s">
        <v>3351</v>
      </c>
      <c r="B154" s="900" t="s">
        <v>3352</v>
      </c>
      <c r="C154" s="901">
        <v>45248</v>
      </c>
      <c r="D154" s="901">
        <v>45255</v>
      </c>
      <c r="E154" s="1110" t="s">
        <v>3353</v>
      </c>
      <c r="G154" s="902" t="s">
        <v>3354</v>
      </c>
      <c r="H154" s="900" t="s">
        <v>3355</v>
      </c>
      <c r="I154" s="900" t="s">
        <v>168</v>
      </c>
      <c r="J154" s="900" t="s">
        <v>51</v>
      </c>
      <c r="L154" s="900" t="s">
        <v>3356</v>
      </c>
      <c r="N154" s="903" t="s">
        <v>3357</v>
      </c>
      <c r="O154" s="904">
        <f>1090-790</f>
        <v>300</v>
      </c>
      <c r="Q154" s="900" t="s">
        <v>1321</v>
      </c>
      <c r="R154" s="1497">
        <v>0</v>
      </c>
      <c r="S154" s="902">
        <v>2</v>
      </c>
      <c r="T154" s="902">
        <v>3</v>
      </c>
      <c r="U154" s="1481">
        <v>300</v>
      </c>
      <c r="V154" s="901">
        <v>44893</v>
      </c>
      <c r="W154" s="900" t="s">
        <v>3358</v>
      </c>
      <c r="X154" s="900" t="s">
        <v>1154</v>
      </c>
      <c r="Y154" s="1497" t="s">
        <v>3359</v>
      </c>
      <c r="Z154" s="1497"/>
    </row>
    <row r="155" spans="1:26" s="820" customFormat="1" ht="11.4">
      <c r="A155" s="820" t="s">
        <v>3546</v>
      </c>
      <c r="B155" s="820" t="s">
        <v>3547</v>
      </c>
      <c r="C155" s="821">
        <v>45282</v>
      </c>
      <c r="D155" s="821">
        <v>45289</v>
      </c>
      <c r="G155" s="822"/>
      <c r="I155" s="820" t="s">
        <v>3550</v>
      </c>
      <c r="J155" s="820" t="s">
        <v>3549</v>
      </c>
      <c r="L155" s="1483" t="s">
        <v>3548</v>
      </c>
      <c r="N155" s="1994" t="s">
        <v>3743</v>
      </c>
      <c r="O155" s="1592">
        <v>1278.71</v>
      </c>
      <c r="Q155" s="820" t="s">
        <v>2674</v>
      </c>
      <c r="R155" s="1512">
        <v>1</v>
      </c>
      <c r="S155" s="822">
        <v>2</v>
      </c>
      <c r="T155" s="822">
        <v>1</v>
      </c>
      <c r="U155" s="1593" t="s">
        <v>3796</v>
      </c>
      <c r="V155" s="821">
        <v>45149</v>
      </c>
      <c r="W155" s="820" t="s">
        <v>2891</v>
      </c>
      <c r="X155" s="820" t="s">
        <v>1154</v>
      </c>
      <c r="Y155" s="1512"/>
      <c r="Z155" s="1512"/>
    </row>
    <row r="156" spans="1:26" s="1003" customFormat="1">
      <c r="A156" s="1003" t="s">
        <v>2716</v>
      </c>
      <c r="B156" s="1003" t="s">
        <v>603</v>
      </c>
      <c r="C156" s="1004">
        <v>45289</v>
      </c>
      <c r="D156" s="1004">
        <v>45297</v>
      </c>
      <c r="E156" s="1118" t="s">
        <v>2717</v>
      </c>
      <c r="G156" s="1005" t="s">
        <v>2718</v>
      </c>
      <c r="H156" s="1003" t="s">
        <v>2721</v>
      </c>
      <c r="I156" s="1003" t="s">
        <v>18</v>
      </c>
      <c r="J156" s="1003" t="s">
        <v>51</v>
      </c>
      <c r="L156" s="1006" t="s">
        <v>2719</v>
      </c>
      <c r="N156" s="1007" t="s">
        <v>3628</v>
      </c>
      <c r="Q156" s="115" t="s">
        <v>2674</v>
      </c>
      <c r="R156" s="1499">
        <v>0</v>
      </c>
      <c r="S156" s="1005">
        <v>2</v>
      </c>
      <c r="T156" s="1005">
        <v>1</v>
      </c>
      <c r="U156" s="1009"/>
      <c r="V156" s="1004">
        <v>44186</v>
      </c>
      <c r="W156" s="1003" t="s">
        <v>1477</v>
      </c>
      <c r="X156" s="1003" t="s">
        <v>1154</v>
      </c>
      <c r="Y156" s="1499" t="s">
        <v>3554</v>
      </c>
      <c r="Z156" s="1499"/>
    </row>
    <row r="157" spans="1:26" s="820" customFormat="1" ht="10.8" thickBot="1">
      <c r="A157" s="820" t="s">
        <v>3239</v>
      </c>
      <c r="B157" s="820" t="s">
        <v>511</v>
      </c>
      <c r="C157" s="821">
        <v>45289</v>
      </c>
      <c r="D157" s="821">
        <v>45297</v>
      </c>
      <c r="E157" s="820" t="s">
        <v>3240</v>
      </c>
      <c r="G157" s="820" t="s">
        <v>1955</v>
      </c>
      <c r="H157" s="820" t="s">
        <v>3241</v>
      </c>
      <c r="I157" s="820" t="s">
        <v>18</v>
      </c>
      <c r="J157" s="820" t="s">
        <v>1023</v>
      </c>
      <c r="L157" s="820" t="s">
        <v>3242</v>
      </c>
      <c r="N157" s="823" t="s">
        <v>3427</v>
      </c>
      <c r="O157" s="1467">
        <v>1200</v>
      </c>
      <c r="Q157" s="820" t="s">
        <v>3243</v>
      </c>
      <c r="R157" s="1512">
        <v>1</v>
      </c>
      <c r="S157" s="822">
        <v>3</v>
      </c>
      <c r="T157" s="822"/>
      <c r="U157" s="1468" t="s">
        <v>3748</v>
      </c>
      <c r="V157" s="821">
        <v>45238</v>
      </c>
      <c r="X157" s="820" t="s">
        <v>1154</v>
      </c>
      <c r="Y157" s="1512" t="s">
        <v>3261</v>
      </c>
      <c r="Z157" s="1512" t="s">
        <v>3428</v>
      </c>
    </row>
    <row r="158" spans="1:26" ht="10.8" thickBot="1">
      <c r="A158" s="18" t="s">
        <v>3212</v>
      </c>
      <c r="B158" s="767">
        <f>SUM(O134:O157)</f>
        <v>58171.21</v>
      </c>
      <c r="C158" s="933">
        <f>B158/B125</f>
        <v>1.136678162828642</v>
      </c>
      <c r="D158" s="791" t="s">
        <v>3775</v>
      </c>
      <c r="E158" s="1577">
        <f>SUM(E159:E168)</f>
        <v>10127.06</v>
      </c>
      <c r="F158" s="7"/>
      <c r="G158" s="133"/>
      <c r="I158" s="7"/>
      <c r="K158" s="7"/>
      <c r="L158" s="864"/>
      <c r="M158" s="7"/>
      <c r="N158" s="7"/>
      <c r="O158" s="773"/>
      <c r="P158" s="7"/>
      <c r="S158" s="133"/>
      <c r="T158" s="133"/>
      <c r="U158" s="1135"/>
    </row>
    <row r="159" spans="1:26" ht="15" thickBot="1">
      <c r="A159" s="768" t="s">
        <v>463</v>
      </c>
      <c r="B159" s="922">
        <f>SUM(R134:R162)</f>
        <v>36.5</v>
      </c>
      <c r="C159" s="1576">
        <f>B158/B159</f>
        <v>1593.7317808219177</v>
      </c>
      <c r="D159" s="17" t="s">
        <v>3247</v>
      </c>
      <c r="E159" s="1127">
        <v>132.46</v>
      </c>
      <c r="F159" s="7"/>
      <c r="G159" s="133"/>
      <c r="H159" s="407"/>
      <c r="I159" s="7"/>
      <c r="K159" s="404"/>
      <c r="M159" s="7"/>
      <c r="O159" s="773"/>
      <c r="P159" s="7"/>
      <c r="S159" s="133"/>
      <c r="T159" s="133" t="s">
        <v>3232</v>
      </c>
      <c r="U159" s="1135"/>
    </row>
    <row r="160" spans="1:26" ht="10.8" thickBot="1">
      <c r="A160" s="7"/>
      <c r="B160" s="7"/>
      <c r="C160" s="29"/>
      <c r="D160" s="17" t="s">
        <v>3779</v>
      </c>
      <c r="E160" s="1127">
        <v>1387.02</v>
      </c>
      <c r="F160" s="7"/>
      <c r="G160" s="133"/>
      <c r="I160" s="7"/>
      <c r="K160" s="404"/>
      <c r="L160" s="495"/>
      <c r="M160" s="7"/>
      <c r="O160" s="773"/>
      <c r="P160" s="7"/>
      <c r="S160" s="133"/>
      <c r="T160" s="133"/>
      <c r="U160" s="1135"/>
    </row>
    <row r="161" spans="1:21" ht="10.8" thickBot="1">
      <c r="A161" s="18" t="s">
        <v>464</v>
      </c>
      <c r="B161" s="851">
        <f>(1788.54+225.66)*12</f>
        <v>24170.400000000001</v>
      </c>
      <c r="C161" s="29"/>
      <c r="D161" s="17" t="s">
        <v>3209</v>
      </c>
      <c r="E161" s="1127">
        <f>10*100+10*120</f>
        <v>2200</v>
      </c>
      <c r="F161" s="7"/>
      <c r="G161" s="133"/>
      <c r="H161" s="495"/>
      <c r="I161" s="7"/>
      <c r="J161" s="7"/>
      <c r="K161" s="404"/>
      <c r="L161" s="404"/>
      <c r="M161" s="7"/>
      <c r="O161" s="439"/>
      <c r="P161" s="7"/>
      <c r="S161" s="133"/>
      <c r="T161" s="133"/>
      <c r="U161" s="1135"/>
    </row>
    <row r="162" spans="1:21" ht="10.8" thickBot="1">
      <c r="A162" s="852" t="s">
        <v>574</v>
      </c>
      <c r="B162" s="853">
        <f>E158</f>
        <v>10127.06</v>
      </c>
      <c r="C162" s="29"/>
      <c r="D162" s="17" t="s">
        <v>577</v>
      </c>
      <c r="E162" s="1127">
        <v>703</v>
      </c>
      <c r="F162" s="7"/>
      <c r="G162" s="133"/>
      <c r="H162" s="495"/>
      <c r="I162" s="7"/>
      <c r="J162" s="7"/>
      <c r="K162" s="49"/>
      <c r="L162" s="49"/>
      <c r="M162" s="7"/>
      <c r="N162" s="1111" t="s">
        <v>3627</v>
      </c>
      <c r="O162" s="773">
        <f>(O152+O153)*0.75+O155+O181*0.75+'Cleder '!O655</f>
        <v>8956.4599999999991</v>
      </c>
      <c r="P162" s="7"/>
      <c r="S162" s="133"/>
      <c r="T162" s="133"/>
      <c r="U162" s="1135">
        <f>3030+1000-1290-1290-1290</f>
        <v>160</v>
      </c>
    </row>
    <row r="163" spans="1:21">
      <c r="A163" s="510" t="s">
        <v>1534</v>
      </c>
      <c r="B163" s="854">
        <f>B158-B161-B162</f>
        <v>23873.75</v>
      </c>
      <c r="C163" s="29"/>
      <c r="D163" s="17" t="s">
        <v>3360</v>
      </c>
      <c r="E163" s="1127">
        <v>745</v>
      </c>
      <c r="F163" s="7"/>
      <c r="G163" s="133"/>
      <c r="H163" s="495"/>
      <c r="I163" s="7"/>
      <c r="J163" s="7"/>
      <c r="M163" s="7"/>
      <c r="O163" s="773"/>
      <c r="P163" s="7"/>
      <c r="S163" s="133"/>
      <c r="T163" s="133"/>
      <c r="U163" s="1135">
        <f>70+21*3</f>
        <v>133</v>
      </c>
    </row>
    <row r="164" spans="1:21">
      <c r="D164" s="10" t="s">
        <v>2525</v>
      </c>
      <c r="E164" s="1127">
        <v>260</v>
      </c>
      <c r="U164" s="439"/>
    </row>
    <row r="165" spans="1:21">
      <c r="D165" s="10" t="s">
        <v>3776</v>
      </c>
      <c r="E165" s="1127">
        <v>467.64</v>
      </c>
      <c r="N165" s="7"/>
      <c r="O165" s="457">
        <f>O143-U143-1867.5</f>
        <v>0</v>
      </c>
      <c r="U165" s="439"/>
    </row>
    <row r="166" spans="1:21">
      <c r="D166" s="10" t="s">
        <v>3255</v>
      </c>
      <c r="E166" s="1127">
        <v>315.04000000000002</v>
      </c>
      <c r="N166" s="7"/>
      <c r="O166" s="457"/>
      <c r="U166" s="439"/>
    </row>
    <row r="167" spans="1:21">
      <c r="D167" s="10" t="s">
        <v>3777</v>
      </c>
      <c r="E167" s="1127">
        <f>833.8/2</f>
        <v>416.9</v>
      </c>
    </row>
    <row r="168" spans="1:21" ht="10.8" thickBot="1">
      <c r="D168" s="519" t="s">
        <v>3778</v>
      </c>
      <c r="E168" s="1226">
        <f>7000/2</f>
        <v>3500</v>
      </c>
      <c r="T168" s="439"/>
      <c r="U168" s="439">
        <f>104500*0.9+55000*0.9</f>
        <v>143550</v>
      </c>
    </row>
    <row r="169" spans="1:21">
      <c r="T169" s="439"/>
      <c r="U169" s="439"/>
    </row>
    <row r="170" spans="1:21">
      <c r="T170" s="439"/>
      <c r="U170" s="439"/>
    </row>
    <row r="171" spans="1:21">
      <c r="T171" s="439"/>
      <c r="U171" s="439"/>
    </row>
    <row r="172" spans="1:21">
      <c r="T172" s="439"/>
      <c r="U172" s="439"/>
    </row>
    <row r="173" spans="1:21">
      <c r="T173" s="439"/>
      <c r="U173" s="439"/>
    </row>
    <row r="174" spans="1:21">
      <c r="T174" s="439"/>
      <c r="U174" s="439"/>
    </row>
    <row r="175" spans="1:21">
      <c r="T175" s="439">
        <f>1979.5+622.5</f>
        <v>2602</v>
      </c>
      <c r="U175" s="439"/>
    </row>
    <row r="176" spans="1:21">
      <c r="T176" s="439">
        <f>2490+70+3*2*14</f>
        <v>2644</v>
      </c>
      <c r="U176" s="439"/>
    </row>
    <row r="177" spans="1:26">
      <c r="T177" s="439"/>
      <c r="U177" s="439"/>
    </row>
    <row r="178" spans="1:26">
      <c r="A178" s="870" t="s">
        <v>3468</v>
      </c>
      <c r="T178" s="439"/>
      <c r="U178" s="439"/>
    </row>
    <row r="179" spans="1:26">
      <c r="T179" s="439"/>
      <c r="U179" s="439"/>
    </row>
    <row r="180" spans="1:26" s="498" customFormat="1" ht="12" customHeight="1">
      <c r="A180" s="1617" t="s">
        <v>3655</v>
      </c>
      <c r="B180" s="498" t="s">
        <v>3656</v>
      </c>
      <c r="C180" s="499">
        <v>45374</v>
      </c>
      <c r="D180" s="499">
        <v>45381</v>
      </c>
      <c r="G180" s="500"/>
      <c r="I180" s="498" t="s">
        <v>23</v>
      </c>
      <c r="J180" s="498" t="s">
        <v>19</v>
      </c>
      <c r="L180" s="498" t="s">
        <v>3962</v>
      </c>
      <c r="N180" s="868" t="s">
        <v>3657</v>
      </c>
      <c r="O180" s="1930">
        <f>1090+21+70</f>
        <v>1181</v>
      </c>
      <c r="Q180" s="498" t="s">
        <v>1025</v>
      </c>
      <c r="R180" s="1490">
        <v>1</v>
      </c>
      <c r="S180" s="500">
        <v>2</v>
      </c>
      <c r="T180" s="500">
        <v>1</v>
      </c>
      <c r="U180" s="503" t="s">
        <v>3665</v>
      </c>
      <c r="V180" s="499">
        <v>45244</v>
      </c>
      <c r="W180" s="498" t="s">
        <v>1665</v>
      </c>
      <c r="X180" s="498" t="s">
        <v>1154</v>
      </c>
      <c r="Y180" s="1490"/>
      <c r="Z180" s="1490"/>
    </row>
    <row r="181" spans="1:26" s="498" customFormat="1" ht="12" customHeight="1">
      <c r="A181" s="498" t="s">
        <v>1653</v>
      </c>
      <c r="B181" s="498" t="s">
        <v>264</v>
      </c>
      <c r="C181" s="499">
        <v>45381</v>
      </c>
      <c r="D181" s="499">
        <v>45395</v>
      </c>
      <c r="E181" s="498" t="s">
        <v>1654</v>
      </c>
      <c r="G181" s="500" t="s">
        <v>1655</v>
      </c>
      <c r="H181" s="498" t="s">
        <v>937</v>
      </c>
      <c r="I181" s="498" t="s">
        <v>18</v>
      </c>
      <c r="J181" s="498" t="s">
        <v>51</v>
      </c>
      <c r="K181" s="498" t="s">
        <v>1656</v>
      </c>
      <c r="L181" s="498" t="s">
        <v>3040</v>
      </c>
      <c r="N181" s="501" t="s">
        <v>1652</v>
      </c>
      <c r="O181" s="1930">
        <f>1190+1190+70</f>
        <v>2450</v>
      </c>
      <c r="Q181" s="498" t="s">
        <v>3094</v>
      </c>
      <c r="R181" s="1490">
        <v>2</v>
      </c>
      <c r="S181" s="500">
        <v>4</v>
      </c>
      <c r="T181" s="500">
        <v>2</v>
      </c>
      <c r="U181" s="503" t="s">
        <v>3552</v>
      </c>
      <c r="V181" s="499">
        <v>45154</v>
      </c>
      <c r="W181" s="498" t="s">
        <v>1519</v>
      </c>
      <c r="X181" s="498" t="s">
        <v>1154</v>
      </c>
      <c r="Y181" s="1490"/>
      <c r="Z181" s="1490"/>
    </row>
    <row r="182" spans="1:26" s="498" customFormat="1" ht="12" customHeight="1">
      <c r="A182" s="498" t="s">
        <v>4000</v>
      </c>
      <c r="B182" s="498" t="s">
        <v>344</v>
      </c>
      <c r="C182" s="499">
        <v>45402</v>
      </c>
      <c r="D182" s="499">
        <v>45409</v>
      </c>
      <c r="E182" s="498" t="s">
        <v>4001</v>
      </c>
      <c r="G182" s="500"/>
      <c r="L182" s="498" t="s">
        <v>4002</v>
      </c>
      <c r="N182" s="868"/>
      <c r="O182" s="1931">
        <v>922</v>
      </c>
      <c r="Q182" s="498" t="s">
        <v>1244</v>
      </c>
      <c r="R182" s="1490">
        <v>1</v>
      </c>
      <c r="S182" s="500">
        <v>4</v>
      </c>
      <c r="T182" s="500">
        <v>1</v>
      </c>
      <c r="U182" s="503" t="s">
        <v>2814</v>
      </c>
      <c r="V182" s="499">
        <v>45393</v>
      </c>
      <c r="W182" s="498" t="s">
        <v>4001</v>
      </c>
      <c r="X182" s="498" t="s">
        <v>4003</v>
      </c>
      <c r="Y182" s="1490"/>
      <c r="Z182" s="1490"/>
    </row>
    <row r="183" spans="1:26" s="355" customFormat="1" ht="12" customHeight="1">
      <c r="A183" s="355" t="s">
        <v>3574</v>
      </c>
      <c r="B183" s="355" t="s">
        <v>2686</v>
      </c>
      <c r="C183" s="357">
        <v>45409</v>
      </c>
      <c r="D183" s="357">
        <v>45430</v>
      </c>
      <c r="E183" s="355" t="s">
        <v>3575</v>
      </c>
      <c r="G183" s="358" t="s">
        <v>3505</v>
      </c>
      <c r="H183" s="355" t="s">
        <v>3576</v>
      </c>
      <c r="I183" s="355" t="s">
        <v>18</v>
      </c>
      <c r="J183" s="355" t="s">
        <v>51</v>
      </c>
      <c r="K183" s="1932" t="s">
        <v>4035</v>
      </c>
      <c r="L183" s="355" t="s">
        <v>3578</v>
      </c>
      <c r="N183" s="365" t="s">
        <v>3579</v>
      </c>
      <c r="O183" s="1933">
        <f>1290+1290+1390+70</f>
        <v>4040</v>
      </c>
      <c r="Q183" s="355" t="s">
        <v>4010</v>
      </c>
      <c r="R183" s="1487">
        <v>3</v>
      </c>
      <c r="S183" s="358">
        <v>2</v>
      </c>
      <c r="T183" s="358">
        <v>2</v>
      </c>
      <c r="U183" s="356" t="s">
        <v>3590</v>
      </c>
      <c r="V183" s="357">
        <v>45166</v>
      </c>
      <c r="W183" s="355" t="s">
        <v>1477</v>
      </c>
      <c r="X183" s="355" t="s">
        <v>1154</v>
      </c>
      <c r="Y183" s="1487"/>
      <c r="Z183" s="1487"/>
    </row>
    <row r="184" spans="1:26" s="1148" customFormat="1" ht="12" customHeight="1">
      <c r="A184" s="1148" t="s">
        <v>3566</v>
      </c>
      <c r="B184" s="1148" t="s">
        <v>3565</v>
      </c>
      <c r="C184" s="1149">
        <v>45430</v>
      </c>
      <c r="D184" s="1149">
        <v>45444</v>
      </c>
      <c r="E184" s="1148" t="s">
        <v>3567</v>
      </c>
      <c r="G184" s="1150" t="s">
        <v>3568</v>
      </c>
      <c r="H184" s="1148" t="s">
        <v>3569</v>
      </c>
      <c r="I184" s="1148" t="s">
        <v>18</v>
      </c>
      <c r="J184" s="1148" t="s">
        <v>51</v>
      </c>
      <c r="K184" s="1148" t="s">
        <v>3570</v>
      </c>
      <c r="L184" s="1148" t="s">
        <v>3571</v>
      </c>
      <c r="N184" s="1151" t="s">
        <v>3564</v>
      </c>
      <c r="O184" s="1934">
        <v>0</v>
      </c>
      <c r="Q184" s="1148" t="s">
        <v>3599</v>
      </c>
      <c r="R184" s="1501">
        <v>0</v>
      </c>
      <c r="S184" s="1150">
        <v>4</v>
      </c>
      <c r="T184" s="1150">
        <v>2</v>
      </c>
      <c r="U184" s="1154" t="s">
        <v>3572</v>
      </c>
      <c r="V184" s="1149">
        <v>45164</v>
      </c>
      <c r="W184" s="1148" t="s">
        <v>1477</v>
      </c>
      <c r="X184" s="1148" t="s">
        <v>1154</v>
      </c>
      <c r="Y184" s="1501" t="s">
        <v>3704</v>
      </c>
      <c r="Z184" s="1501"/>
    </row>
    <row r="185" spans="1:26" s="1148" customFormat="1">
      <c r="A185" s="1148" t="s">
        <v>2743</v>
      </c>
      <c r="B185" s="1148" t="s">
        <v>2742</v>
      </c>
      <c r="C185" s="1149">
        <v>45444</v>
      </c>
      <c r="D185" s="1149">
        <v>45451</v>
      </c>
      <c r="E185" s="1158" t="s">
        <v>2744</v>
      </c>
      <c r="G185" s="1158" t="s">
        <v>2745</v>
      </c>
      <c r="H185" s="1148" t="s">
        <v>2746</v>
      </c>
      <c r="I185" s="1148" t="s">
        <v>18</v>
      </c>
      <c r="J185" s="1148" t="s">
        <v>51</v>
      </c>
      <c r="L185" s="1158" t="s">
        <v>2747</v>
      </c>
      <c r="N185" s="1151" t="s">
        <v>2748</v>
      </c>
      <c r="O185" s="1934">
        <v>0</v>
      </c>
      <c r="Q185" s="1148" t="s">
        <v>3470</v>
      </c>
      <c r="R185" s="1501">
        <v>0</v>
      </c>
      <c r="S185" s="1150">
        <v>2</v>
      </c>
      <c r="T185" s="1150">
        <v>2</v>
      </c>
      <c r="U185" s="1157">
        <v>400</v>
      </c>
      <c r="V185" s="1149" t="s">
        <v>3471</v>
      </c>
      <c r="W185" s="1148" t="s">
        <v>1519</v>
      </c>
      <c r="X185" s="1148" t="s">
        <v>1154</v>
      </c>
      <c r="Y185" s="1501" t="s">
        <v>3472</v>
      </c>
      <c r="Z185" s="1501"/>
    </row>
    <row r="186" spans="1:26" s="355" customFormat="1">
      <c r="A186" s="355" t="s">
        <v>2944</v>
      </c>
      <c r="B186" s="355" t="s">
        <v>3866</v>
      </c>
      <c r="C186" s="357">
        <v>45430</v>
      </c>
      <c r="D186" s="357">
        <v>45437</v>
      </c>
      <c r="E186" s="934" t="s">
        <v>3867</v>
      </c>
      <c r="G186" s="934" t="s">
        <v>3868</v>
      </c>
      <c r="H186" s="355" t="s">
        <v>3869</v>
      </c>
      <c r="I186" s="355" t="s">
        <v>18</v>
      </c>
      <c r="J186" s="355" t="s">
        <v>51</v>
      </c>
      <c r="L186" s="934" t="s">
        <v>3870</v>
      </c>
      <c r="N186" s="365" t="s">
        <v>3871</v>
      </c>
      <c r="O186" s="1933">
        <f>1390+70+21</f>
        <v>1481</v>
      </c>
      <c r="Q186" s="355" t="s">
        <v>1025</v>
      </c>
      <c r="R186" s="1487">
        <v>1</v>
      </c>
      <c r="S186" s="358">
        <v>2</v>
      </c>
      <c r="T186" s="358">
        <v>1</v>
      </c>
      <c r="U186" s="417">
        <v>350</v>
      </c>
      <c r="V186" s="357">
        <v>45321</v>
      </c>
      <c r="W186" s="355" t="s">
        <v>1338</v>
      </c>
      <c r="X186" s="355" t="s">
        <v>1154</v>
      </c>
      <c r="Y186" s="1487"/>
      <c r="Z186" s="1487"/>
    </row>
    <row r="187" spans="1:26" s="498" customFormat="1">
      <c r="A187" s="498" t="s">
        <v>3844</v>
      </c>
      <c r="B187" s="498" t="s">
        <v>2488</v>
      </c>
      <c r="C187" s="499">
        <v>45437</v>
      </c>
      <c r="D187" s="499">
        <v>45451</v>
      </c>
      <c r="E187" s="938" t="s">
        <v>3845</v>
      </c>
      <c r="G187" s="938" t="s">
        <v>3846</v>
      </c>
      <c r="H187" s="498" t="s">
        <v>3847</v>
      </c>
      <c r="I187" s="498" t="s">
        <v>18</v>
      </c>
      <c r="J187" s="498" t="s">
        <v>51</v>
      </c>
      <c r="L187" s="938" t="s">
        <v>3848</v>
      </c>
      <c r="N187" s="868" t="s">
        <v>3849</v>
      </c>
      <c r="O187" s="1930">
        <f>1590*2+70+2*3*14</f>
        <v>3334</v>
      </c>
      <c r="Q187" s="498" t="s">
        <v>1192</v>
      </c>
      <c r="R187" s="1490">
        <v>2</v>
      </c>
      <c r="S187" s="500">
        <v>2</v>
      </c>
      <c r="T187" s="500">
        <v>2</v>
      </c>
      <c r="U187" s="981" t="s">
        <v>3862</v>
      </c>
      <c r="V187" s="499">
        <v>45301</v>
      </c>
      <c r="W187" s="498" t="s">
        <v>1477</v>
      </c>
      <c r="Y187" s="1490"/>
      <c r="Z187" s="1490"/>
    </row>
    <row r="188" spans="1:26" s="498" customFormat="1">
      <c r="A188" s="498" t="s">
        <v>4008</v>
      </c>
      <c r="B188" s="498" t="s">
        <v>4059</v>
      </c>
      <c r="C188" s="499">
        <v>45451</v>
      </c>
      <c r="D188" s="499">
        <v>45465</v>
      </c>
      <c r="E188" s="938"/>
      <c r="G188" s="938" t="s">
        <v>2814</v>
      </c>
      <c r="I188" s="498" t="s">
        <v>18</v>
      </c>
      <c r="J188" s="498" t="s">
        <v>51</v>
      </c>
      <c r="L188" s="1935" t="s">
        <v>4058</v>
      </c>
      <c r="N188" s="868" t="s">
        <v>4007</v>
      </c>
      <c r="O188" s="1930">
        <v>3336.36</v>
      </c>
      <c r="Q188" s="498" t="s">
        <v>199</v>
      </c>
      <c r="R188" s="1490">
        <v>2</v>
      </c>
      <c r="S188" s="500">
        <v>2</v>
      </c>
      <c r="T188" s="500"/>
      <c r="U188" s="981"/>
      <c r="V188" s="499">
        <v>45411</v>
      </c>
      <c r="W188" s="498" t="s">
        <v>2891</v>
      </c>
      <c r="X188" s="498" t="s">
        <v>1217</v>
      </c>
      <c r="Y188" s="1490"/>
      <c r="Z188" s="1490"/>
    </row>
    <row r="189" spans="1:26" s="1203" customFormat="1">
      <c r="A189" s="1203" t="s">
        <v>3615</v>
      </c>
      <c r="B189" s="1203" t="s">
        <v>3616</v>
      </c>
      <c r="C189" s="1204">
        <v>45451</v>
      </c>
      <c r="D189" s="1204">
        <v>45465</v>
      </c>
      <c r="E189" s="1936" t="s">
        <v>3617</v>
      </c>
      <c r="G189" s="1936" t="s">
        <v>3618</v>
      </c>
      <c r="H189" s="1203" t="s">
        <v>3619</v>
      </c>
      <c r="I189" s="1203" t="s">
        <v>18</v>
      </c>
      <c r="J189" s="1203" t="s">
        <v>51</v>
      </c>
      <c r="L189" s="1936" t="s">
        <v>3620</v>
      </c>
      <c r="N189" s="1937" t="s">
        <v>3621</v>
      </c>
      <c r="O189" s="1938">
        <v>920</v>
      </c>
      <c r="Q189" s="1203" t="s">
        <v>4009</v>
      </c>
      <c r="R189" s="1506">
        <v>0</v>
      </c>
      <c r="S189" s="1206">
        <v>3</v>
      </c>
      <c r="T189" s="1206">
        <v>1</v>
      </c>
      <c r="U189" s="1209">
        <v>920</v>
      </c>
      <c r="V189" s="1204">
        <v>45186</v>
      </c>
      <c r="W189" s="1203" t="s">
        <v>1477</v>
      </c>
      <c r="X189" s="1203" t="s">
        <v>1154</v>
      </c>
      <c r="Y189" s="1506"/>
      <c r="Z189" s="1506"/>
    </row>
    <row r="190" spans="1:26" s="355" customFormat="1">
      <c r="A190" s="355" t="s">
        <v>3931</v>
      </c>
      <c r="B190" s="355" t="s">
        <v>652</v>
      </c>
      <c r="C190" s="357">
        <v>45465</v>
      </c>
      <c r="D190" s="357">
        <v>45472</v>
      </c>
      <c r="E190" s="934" t="s">
        <v>3932</v>
      </c>
      <c r="G190" s="934" t="s">
        <v>3933</v>
      </c>
      <c r="H190" s="355" t="s">
        <v>1694</v>
      </c>
      <c r="I190" s="355" t="s">
        <v>18</v>
      </c>
      <c r="J190" s="355" t="s">
        <v>51</v>
      </c>
      <c r="L190" s="934" t="s">
        <v>3934</v>
      </c>
      <c r="N190" s="365" t="s">
        <v>3935</v>
      </c>
      <c r="O190" s="1933">
        <v>1990</v>
      </c>
      <c r="Q190" s="355" t="s">
        <v>1025</v>
      </c>
      <c r="R190" s="1487">
        <v>1</v>
      </c>
      <c r="S190" s="358">
        <v>2</v>
      </c>
      <c r="T190" s="358">
        <v>1</v>
      </c>
      <c r="U190" s="417" t="s">
        <v>3937</v>
      </c>
      <c r="V190" s="357">
        <v>45347</v>
      </c>
      <c r="W190" s="355" t="s">
        <v>1477</v>
      </c>
      <c r="X190" s="355" t="s">
        <v>1154</v>
      </c>
      <c r="Y190" s="1487"/>
      <c r="Z190" s="1487"/>
    </row>
    <row r="191" spans="1:26" s="498" customFormat="1">
      <c r="A191" s="498" t="s">
        <v>3988</v>
      </c>
      <c r="B191" s="498" t="s">
        <v>3983</v>
      </c>
      <c r="C191" s="499">
        <v>45472</v>
      </c>
      <c r="D191" s="499">
        <v>45479</v>
      </c>
      <c r="E191" s="938" t="s">
        <v>3984</v>
      </c>
      <c r="G191" s="938" t="s">
        <v>3985</v>
      </c>
      <c r="H191" s="498" t="s">
        <v>3986</v>
      </c>
      <c r="I191" s="498" t="s">
        <v>54</v>
      </c>
      <c r="J191" s="498" t="s">
        <v>19</v>
      </c>
      <c r="L191" s="938" t="s">
        <v>4065</v>
      </c>
      <c r="N191" s="868" t="s">
        <v>3987</v>
      </c>
      <c r="O191" s="1930">
        <f>2490+70+3*2*7</f>
        <v>2602</v>
      </c>
      <c r="Q191" s="498" t="s">
        <v>4050</v>
      </c>
      <c r="R191" s="1490">
        <v>1</v>
      </c>
      <c r="S191" s="500">
        <v>3</v>
      </c>
      <c r="T191" s="500">
        <v>2</v>
      </c>
      <c r="U191" s="981" t="s">
        <v>3997</v>
      </c>
      <c r="V191" s="499">
        <v>45390</v>
      </c>
      <c r="W191" s="498" t="s">
        <v>1477</v>
      </c>
      <c r="X191" s="498" t="s">
        <v>1154</v>
      </c>
      <c r="Y191" s="1490"/>
      <c r="Z191" s="1490"/>
    </row>
    <row r="192" spans="1:26" s="1915" customFormat="1">
      <c r="A192" s="1915" t="s">
        <v>4074</v>
      </c>
      <c r="B192" s="1915" t="s">
        <v>4053</v>
      </c>
      <c r="C192" s="1939">
        <v>45479</v>
      </c>
      <c r="D192" s="1939">
        <v>45486</v>
      </c>
      <c r="E192" s="1940" t="s">
        <v>4075</v>
      </c>
      <c r="G192" s="1940" t="s">
        <v>4076</v>
      </c>
      <c r="H192" s="1915" t="s">
        <v>4077</v>
      </c>
      <c r="I192" s="1915" t="s">
        <v>18</v>
      </c>
      <c r="J192" s="1915" t="s">
        <v>51</v>
      </c>
      <c r="L192" s="1940" t="s">
        <v>4078</v>
      </c>
      <c r="N192" s="1941" t="s">
        <v>4062</v>
      </c>
      <c r="O192" s="1942">
        <v>1500</v>
      </c>
      <c r="Q192" s="1915" t="s">
        <v>1025</v>
      </c>
      <c r="R192" s="1943">
        <v>1</v>
      </c>
      <c r="S192" s="1944">
        <v>2</v>
      </c>
      <c r="T192" s="1944">
        <v>1</v>
      </c>
      <c r="U192" s="1945" t="s">
        <v>4054</v>
      </c>
      <c r="V192" s="1939"/>
      <c r="Y192" s="1943"/>
      <c r="Z192" s="1943"/>
    </row>
    <row r="193" spans="1:26" s="355" customFormat="1">
      <c r="A193" s="355" t="s">
        <v>3697</v>
      </c>
      <c r="B193" s="355" t="s">
        <v>3801</v>
      </c>
      <c r="C193" s="357">
        <v>45486</v>
      </c>
      <c r="D193" s="357">
        <v>45500</v>
      </c>
      <c r="E193" s="934" t="s">
        <v>3698</v>
      </c>
      <c r="G193" s="934" t="s">
        <v>3699</v>
      </c>
      <c r="H193" s="355" t="s">
        <v>3700</v>
      </c>
      <c r="I193" s="355" t="s">
        <v>18</v>
      </c>
      <c r="J193" s="355" t="s">
        <v>51</v>
      </c>
      <c r="L193" s="934" t="s">
        <v>3701</v>
      </c>
      <c r="N193" s="365" t="s">
        <v>3702</v>
      </c>
      <c r="O193" s="1933">
        <f>2490*2+70+42</f>
        <v>5092</v>
      </c>
      <c r="Q193" s="355" t="s">
        <v>4066</v>
      </c>
      <c r="R193" s="1487">
        <v>2</v>
      </c>
      <c r="S193" s="358">
        <v>4</v>
      </c>
      <c r="T193" s="358">
        <v>1</v>
      </c>
      <c r="U193" s="417" t="s">
        <v>3810</v>
      </c>
      <c r="V193" s="357">
        <v>45262</v>
      </c>
      <c r="W193" s="355" t="s">
        <v>1477</v>
      </c>
      <c r="X193" s="355" t="s">
        <v>1154</v>
      </c>
      <c r="Y193" s="1487"/>
      <c r="Z193" s="1487"/>
    </row>
    <row r="194" spans="1:26" s="498" customFormat="1">
      <c r="A194" s="498" t="s">
        <v>3659</v>
      </c>
      <c r="B194" s="498" t="s">
        <v>3474</v>
      </c>
      <c r="C194" s="499">
        <v>45500</v>
      </c>
      <c r="D194" s="499">
        <v>45514</v>
      </c>
      <c r="E194" s="938" t="s">
        <v>3661</v>
      </c>
      <c r="G194" s="938" t="s">
        <v>3662</v>
      </c>
      <c r="H194" s="498" t="s">
        <v>3663</v>
      </c>
      <c r="I194" s="498" t="s">
        <v>18</v>
      </c>
      <c r="J194" s="498" t="s">
        <v>51</v>
      </c>
      <c r="L194" s="938" t="s">
        <v>3660</v>
      </c>
      <c r="N194" s="868" t="s">
        <v>3658</v>
      </c>
      <c r="O194" s="1930">
        <f>2490*2+70+42</f>
        <v>5092</v>
      </c>
      <c r="Q194" s="498" t="s">
        <v>4094</v>
      </c>
      <c r="R194" s="1490">
        <v>2</v>
      </c>
      <c r="S194" s="500">
        <v>5</v>
      </c>
      <c r="T194" s="500">
        <v>1</v>
      </c>
      <c r="U194" s="981" t="s">
        <v>3664</v>
      </c>
      <c r="V194" s="499">
        <v>45243</v>
      </c>
      <c r="W194" s="498" t="s">
        <v>1477</v>
      </c>
      <c r="X194" s="498" t="s">
        <v>1154</v>
      </c>
      <c r="Y194" s="1490"/>
      <c r="Z194" s="1490"/>
    </row>
    <row r="195" spans="1:26" s="498" customFormat="1">
      <c r="A195" s="498" t="s">
        <v>3798</v>
      </c>
      <c r="B195" s="498" t="s">
        <v>1953</v>
      </c>
      <c r="C195" s="499">
        <v>45514</v>
      </c>
      <c r="D195" s="499">
        <v>45528</v>
      </c>
      <c r="E195" s="938"/>
      <c r="G195" s="938"/>
      <c r="I195" s="498" t="s">
        <v>18</v>
      </c>
      <c r="J195" s="498" t="s">
        <v>51</v>
      </c>
      <c r="L195" s="938" t="s">
        <v>3799</v>
      </c>
      <c r="N195" s="868" t="s">
        <v>3800</v>
      </c>
      <c r="O195" s="1930">
        <f>1245+3805</f>
        <v>5050</v>
      </c>
      <c r="Q195" s="498" t="s">
        <v>3622</v>
      </c>
      <c r="R195" s="1490">
        <v>2</v>
      </c>
      <c r="S195" s="500">
        <v>3</v>
      </c>
      <c r="T195" s="500">
        <v>1</v>
      </c>
      <c r="U195" s="981"/>
      <c r="V195" s="499"/>
      <c r="Y195" s="1490"/>
      <c r="Z195" s="1490"/>
    </row>
    <row r="196" spans="1:26" s="498" customFormat="1">
      <c r="A196" s="498" t="s">
        <v>3635</v>
      </c>
      <c r="B196" s="498" t="s">
        <v>3636</v>
      </c>
      <c r="C196" s="499">
        <v>45528</v>
      </c>
      <c r="D196" s="499">
        <v>45542</v>
      </c>
      <c r="E196" s="938" t="s">
        <v>3637</v>
      </c>
      <c r="G196" s="938" t="s">
        <v>3638</v>
      </c>
      <c r="H196" s="498" t="s">
        <v>3639</v>
      </c>
      <c r="I196" s="498" t="s">
        <v>18</v>
      </c>
      <c r="J196" s="498" t="s">
        <v>51</v>
      </c>
      <c r="K196" s="498" t="s">
        <v>3640</v>
      </c>
      <c r="L196" s="938" t="s">
        <v>3641</v>
      </c>
      <c r="N196" s="868" t="s">
        <v>3642</v>
      </c>
      <c r="O196" s="1930">
        <f>2490+2190+196</f>
        <v>4876</v>
      </c>
      <c r="Q196" s="498" t="s">
        <v>3643</v>
      </c>
      <c r="R196" s="1490">
        <v>2</v>
      </c>
      <c r="S196" s="500">
        <v>3</v>
      </c>
      <c r="T196" s="500">
        <v>2</v>
      </c>
      <c r="U196" s="981" t="s">
        <v>3650</v>
      </c>
      <c r="V196" s="499">
        <v>45210</v>
      </c>
      <c r="W196" s="498" t="s">
        <v>1525</v>
      </c>
      <c r="Y196" s="1490"/>
      <c r="Z196" s="1490"/>
    </row>
    <row r="197" spans="1:26" s="498" customFormat="1" ht="12" customHeight="1">
      <c r="A197" s="498" t="s">
        <v>1556</v>
      </c>
      <c r="B197" s="498" t="s">
        <v>1557</v>
      </c>
      <c r="C197" s="499">
        <v>45176</v>
      </c>
      <c r="D197" s="499">
        <v>45183</v>
      </c>
      <c r="E197" s="498" t="s">
        <v>1558</v>
      </c>
      <c r="G197" s="500" t="s">
        <v>1559</v>
      </c>
      <c r="H197" s="498" t="s">
        <v>1560</v>
      </c>
      <c r="I197" s="498" t="s">
        <v>1561</v>
      </c>
      <c r="J197" s="498" t="s">
        <v>180</v>
      </c>
      <c r="L197" s="498" t="s">
        <v>1430</v>
      </c>
      <c r="M197" s="498" t="s">
        <v>3053</v>
      </c>
      <c r="N197" s="868" t="s">
        <v>1562</v>
      </c>
      <c r="O197" s="1930">
        <f>2090+91</f>
        <v>2181</v>
      </c>
      <c r="Q197" s="498" t="s">
        <v>2674</v>
      </c>
      <c r="R197" s="1490">
        <v>1</v>
      </c>
      <c r="S197" s="500">
        <v>2</v>
      </c>
      <c r="T197" s="500">
        <v>1</v>
      </c>
      <c r="U197" s="503" t="s">
        <v>3634</v>
      </c>
      <c r="V197" s="499">
        <v>45200</v>
      </c>
      <c r="W197" s="498" t="s">
        <v>3631</v>
      </c>
      <c r="X197" s="498" t="s">
        <v>1154</v>
      </c>
      <c r="Y197" s="1490"/>
      <c r="Z197" s="1490"/>
    </row>
    <row r="198" spans="1:26" s="498" customFormat="1" ht="12" customHeight="1">
      <c r="A198" s="498" t="s">
        <v>3964</v>
      </c>
      <c r="B198" s="498" t="s">
        <v>3965</v>
      </c>
      <c r="C198" s="499">
        <v>45549</v>
      </c>
      <c r="D198" s="499">
        <v>45556</v>
      </c>
      <c r="E198" s="498" t="s">
        <v>3966</v>
      </c>
      <c r="G198" s="500" t="s">
        <v>3967</v>
      </c>
      <c r="H198" s="498" t="s">
        <v>3968</v>
      </c>
      <c r="I198" s="498" t="s">
        <v>18</v>
      </c>
      <c r="J198" s="498" t="s">
        <v>51</v>
      </c>
      <c r="L198" s="498" t="s">
        <v>3969</v>
      </c>
      <c r="N198" s="868" t="s">
        <v>4145</v>
      </c>
      <c r="O198" s="1930">
        <f>1590+70+3*3*7</f>
        <v>1723</v>
      </c>
      <c r="Q198" s="498" t="s">
        <v>4120</v>
      </c>
      <c r="R198" s="1490">
        <v>1</v>
      </c>
      <c r="S198" s="500">
        <v>2</v>
      </c>
      <c r="T198" s="500">
        <v>3</v>
      </c>
      <c r="U198" s="670">
        <v>318</v>
      </c>
      <c r="V198" s="499">
        <v>45386</v>
      </c>
      <c r="X198" s="498" t="s">
        <v>3971</v>
      </c>
      <c r="Y198" s="1490"/>
      <c r="Z198" s="1490"/>
    </row>
    <row r="199" spans="1:26" s="498" customFormat="1" ht="12" customHeight="1">
      <c r="A199" s="498" t="s">
        <v>3884</v>
      </c>
      <c r="B199" s="498" t="s">
        <v>23</v>
      </c>
      <c r="C199" s="499">
        <v>45556</v>
      </c>
      <c r="D199" s="499">
        <v>45563</v>
      </c>
      <c r="E199" s="498" t="s">
        <v>3885</v>
      </c>
      <c r="G199" s="500" t="s">
        <v>3886</v>
      </c>
      <c r="H199" s="498" t="s">
        <v>54</v>
      </c>
      <c r="I199" s="498" t="s">
        <v>54</v>
      </c>
      <c r="J199" s="498" t="s">
        <v>19</v>
      </c>
      <c r="L199" s="498" t="s">
        <v>3887</v>
      </c>
      <c r="N199" s="868" t="s">
        <v>3888</v>
      </c>
      <c r="O199" s="1930">
        <f>1590+70+21</f>
        <v>1681</v>
      </c>
      <c r="Q199" s="498" t="s">
        <v>4119</v>
      </c>
      <c r="R199" s="1490">
        <v>1</v>
      </c>
      <c r="S199" s="500">
        <v>2</v>
      </c>
      <c r="T199" s="500">
        <v>1</v>
      </c>
      <c r="U199" s="670">
        <v>397.5</v>
      </c>
      <c r="V199" s="499">
        <v>45333</v>
      </c>
      <c r="X199" s="498" t="s">
        <v>1154</v>
      </c>
      <c r="Y199" s="1490"/>
      <c r="Z199" s="1490"/>
    </row>
    <row r="200" spans="1:26" s="498" customFormat="1" ht="12" customHeight="1">
      <c r="A200" s="498" t="s">
        <v>3601</v>
      </c>
      <c r="B200" s="498" t="s">
        <v>3589</v>
      </c>
      <c r="C200" s="499">
        <v>45563</v>
      </c>
      <c r="D200" s="499">
        <v>45577</v>
      </c>
      <c r="E200" s="1946" t="s">
        <v>3341</v>
      </c>
      <c r="G200" s="500" t="s">
        <v>3344</v>
      </c>
      <c r="H200" s="1946" t="s">
        <v>3343</v>
      </c>
      <c r="I200" s="498" t="s">
        <v>168</v>
      </c>
      <c r="J200" s="498" t="s">
        <v>1023</v>
      </c>
      <c r="L200" s="688" t="s">
        <v>3345</v>
      </c>
      <c r="N200" s="868" t="s">
        <v>3342</v>
      </c>
      <c r="O200" s="1930">
        <f>1000+1671</f>
        <v>2671</v>
      </c>
      <c r="Q200" s="498" t="s">
        <v>4121</v>
      </c>
      <c r="R200" s="1490">
        <v>2</v>
      </c>
      <c r="S200" s="500">
        <v>2</v>
      </c>
      <c r="T200" s="500">
        <v>1</v>
      </c>
      <c r="U200" s="981">
        <v>1000</v>
      </c>
      <c r="V200" s="499">
        <v>45225</v>
      </c>
      <c r="W200" s="498" t="s">
        <v>3631</v>
      </c>
      <c r="X200" s="498" t="s">
        <v>1154</v>
      </c>
      <c r="Y200" s="1490" t="s">
        <v>3651</v>
      </c>
      <c r="Z200" s="1490"/>
    </row>
    <row r="201" spans="1:26" s="498" customFormat="1" ht="12" customHeight="1">
      <c r="A201" s="498" t="s">
        <v>3832</v>
      </c>
      <c r="B201" s="498" t="s">
        <v>3340</v>
      </c>
      <c r="C201" s="499">
        <v>45577</v>
      </c>
      <c r="D201" s="499">
        <v>45591</v>
      </c>
      <c r="E201" s="1946"/>
      <c r="G201" s="500"/>
      <c r="H201" s="1946"/>
      <c r="I201" s="498" t="s">
        <v>18</v>
      </c>
      <c r="J201" s="498" t="s">
        <v>51</v>
      </c>
      <c r="L201" s="688" t="s">
        <v>3833</v>
      </c>
      <c r="N201" s="868" t="s">
        <v>3834</v>
      </c>
      <c r="O201" s="1930">
        <f>1290*2+21+70</f>
        <v>2671</v>
      </c>
      <c r="Q201" s="498" t="s">
        <v>2674</v>
      </c>
      <c r="R201" s="1490">
        <v>2</v>
      </c>
      <c r="S201" s="500">
        <v>2</v>
      </c>
      <c r="T201" s="500">
        <v>1</v>
      </c>
      <c r="U201" s="981" t="s">
        <v>3863</v>
      </c>
      <c r="V201" s="499">
        <v>45292</v>
      </c>
      <c r="X201" s="498" t="s">
        <v>1154</v>
      </c>
      <c r="Y201" s="1490"/>
      <c r="Z201" s="1490"/>
    </row>
    <row r="202" spans="1:26" s="498" customFormat="1" ht="12" customHeight="1">
      <c r="A202" s="498" t="s">
        <v>4149</v>
      </c>
      <c r="B202" s="498" t="s">
        <v>4146</v>
      </c>
      <c r="C202" s="499">
        <v>45591</v>
      </c>
      <c r="D202" s="499">
        <v>45598</v>
      </c>
      <c r="G202" s="500"/>
      <c r="H202" s="498" t="s">
        <v>4147</v>
      </c>
      <c r="I202" s="498" t="s">
        <v>23</v>
      </c>
      <c r="J202" s="498" t="s">
        <v>19</v>
      </c>
      <c r="L202" s="688" t="s">
        <v>4148</v>
      </c>
      <c r="N202" s="868" t="s">
        <v>4159</v>
      </c>
      <c r="O202" s="1930">
        <v>1296.26</v>
      </c>
      <c r="Q202" s="498" t="s">
        <v>3622</v>
      </c>
      <c r="R202" s="1490">
        <v>1</v>
      </c>
      <c r="S202" s="500">
        <v>3</v>
      </c>
      <c r="T202" s="500" t="s">
        <v>4150</v>
      </c>
      <c r="U202" s="981"/>
      <c r="V202" s="499"/>
      <c r="W202" s="498" t="s">
        <v>2891</v>
      </c>
      <c r="X202" s="498" t="s">
        <v>1154</v>
      </c>
      <c r="Y202" s="1490"/>
      <c r="Z202" s="1490"/>
    </row>
    <row r="203" spans="1:26" s="498" customFormat="1" ht="12" customHeight="1">
      <c r="A203" s="498" t="s">
        <v>4269</v>
      </c>
      <c r="B203" s="498" t="s">
        <v>4270</v>
      </c>
      <c r="C203" s="499">
        <v>45654</v>
      </c>
      <c r="D203" s="499">
        <v>45661</v>
      </c>
      <c r="E203" s="498" t="s">
        <v>4271</v>
      </c>
      <c r="G203" s="500"/>
      <c r="H203" s="498" t="s">
        <v>4272</v>
      </c>
      <c r="I203" s="498" t="s">
        <v>4273</v>
      </c>
      <c r="J203" s="498" t="s">
        <v>19</v>
      </c>
      <c r="L203" s="688" t="s">
        <v>4274</v>
      </c>
      <c r="N203" s="868" t="s">
        <v>4275</v>
      </c>
      <c r="O203" s="1930">
        <f>1390*0.8+70+21</f>
        <v>1203</v>
      </c>
      <c r="Q203" s="498" t="s">
        <v>2975</v>
      </c>
      <c r="R203" s="1490">
        <v>1</v>
      </c>
      <c r="S203" s="500">
        <v>2</v>
      </c>
      <c r="T203" s="500">
        <v>1</v>
      </c>
      <c r="U203" s="981"/>
      <c r="V203" s="499">
        <v>45643</v>
      </c>
      <c r="W203" s="498" t="s">
        <v>4276</v>
      </c>
      <c r="X203" s="498" t="s">
        <v>4277</v>
      </c>
      <c r="Y203" s="1490"/>
      <c r="Z203" s="1490"/>
    </row>
    <row r="204" spans="1:26" s="498" customFormat="1">
      <c r="A204" s="498" t="s">
        <v>3604</v>
      </c>
      <c r="B204" s="498" t="s">
        <v>1133</v>
      </c>
      <c r="C204" s="499">
        <v>45633</v>
      </c>
      <c r="D204" s="499">
        <v>45661</v>
      </c>
      <c r="E204" s="938" t="s">
        <v>3605</v>
      </c>
      <c r="G204" s="938" t="s">
        <v>3606</v>
      </c>
      <c r="H204" s="498" t="s">
        <v>2474</v>
      </c>
      <c r="I204" s="498" t="s">
        <v>18</v>
      </c>
      <c r="J204" s="498" t="s">
        <v>51</v>
      </c>
      <c r="L204" s="938" t="s">
        <v>3607</v>
      </c>
      <c r="N204" s="868" t="s">
        <v>3608</v>
      </c>
      <c r="O204" s="1930">
        <f>1090+1090+1390+1390</f>
        <v>4960</v>
      </c>
      <c r="Q204" s="498" t="s">
        <v>4224</v>
      </c>
      <c r="R204" s="1490">
        <v>4</v>
      </c>
      <c r="S204" s="500">
        <v>2</v>
      </c>
      <c r="T204" s="500">
        <v>1</v>
      </c>
      <c r="U204" s="981">
        <v>1240</v>
      </c>
      <c r="V204" s="499">
        <v>45180</v>
      </c>
      <c r="W204" s="498" t="s">
        <v>3609</v>
      </c>
      <c r="X204" s="498" t="s">
        <v>1154</v>
      </c>
      <c r="Y204" s="1490"/>
      <c r="Z204" s="1490"/>
    </row>
    <row r="205" spans="1:26">
      <c r="O205" s="1924"/>
      <c r="U205" s="439">
        <f>1170+3510</f>
        <v>4680</v>
      </c>
    </row>
    <row r="206" spans="1:26" ht="10.8" thickBot="1">
      <c r="O206" s="1924"/>
      <c r="P206" s="132"/>
      <c r="Q206" s="132"/>
      <c r="R206" s="132"/>
    </row>
    <row r="207" spans="1:26" ht="10.8" thickBot="1">
      <c r="A207" s="18" t="s">
        <v>3469</v>
      </c>
      <c r="B207" s="767">
        <f>SUM(O180:O206)</f>
        <v>62252.62</v>
      </c>
      <c r="C207" s="1761">
        <f>B207/B158</f>
        <v>1.0701620268858083</v>
      </c>
      <c r="D207" s="791" t="s">
        <v>3826</v>
      </c>
      <c r="E207" s="1577">
        <f>SUM(E208:E217)</f>
        <v>10127.06</v>
      </c>
      <c r="O207" s="1924"/>
      <c r="P207" s="132"/>
      <c r="Q207" s="132"/>
      <c r="R207" s="132"/>
    </row>
    <row r="208" spans="1:26" ht="10.8" thickBot="1">
      <c r="A208" s="768" t="s">
        <v>463</v>
      </c>
      <c r="B208" s="1797">
        <f>SUM(R173:R211)</f>
        <v>36</v>
      </c>
      <c r="C208" s="1796">
        <f>B207/B208</f>
        <v>1729.2394444444444</v>
      </c>
      <c r="D208" s="1802" t="s">
        <v>3247</v>
      </c>
      <c r="E208" s="1578">
        <v>132.46</v>
      </c>
      <c r="O208" s="1924"/>
      <c r="P208" s="132"/>
      <c r="Q208" s="132"/>
      <c r="R208" s="132"/>
    </row>
    <row r="209" spans="1:21" ht="12.6" thickBot="1">
      <c r="A209" s="7"/>
      <c r="B209" s="7"/>
      <c r="C209" s="29"/>
      <c r="D209" s="1802" t="s">
        <v>3779</v>
      </c>
      <c r="E209" s="1578">
        <v>1387.02</v>
      </c>
      <c r="J209" s="347"/>
      <c r="O209" s="1924"/>
      <c r="P209" s="132"/>
      <c r="Q209" s="132"/>
      <c r="R209" s="132"/>
    </row>
    <row r="210" spans="1:21" ht="10.8" thickBot="1">
      <c r="A210" s="18" t="s">
        <v>464</v>
      </c>
      <c r="B210" s="1799">
        <f>(1788.54+225.66)*12</f>
        <v>24170.400000000001</v>
      </c>
      <c r="C210" s="29"/>
      <c r="D210" s="1802" t="s">
        <v>3209</v>
      </c>
      <c r="E210" s="1578">
        <f>10*100+10*120</f>
        <v>2200</v>
      </c>
      <c r="O210" s="1924"/>
      <c r="P210" s="132"/>
      <c r="Q210" s="132"/>
      <c r="R210" s="132"/>
      <c r="U210" s="439">
        <f>272.5+908.5</f>
        <v>1181</v>
      </c>
    </row>
    <row r="211" spans="1:21" ht="10.8" thickBot="1">
      <c r="A211" s="1800" t="s">
        <v>574</v>
      </c>
      <c r="B211" s="1801">
        <f>E207</f>
        <v>10127.06</v>
      </c>
      <c r="C211" s="29"/>
      <c r="D211" s="1802" t="s">
        <v>577</v>
      </c>
      <c r="E211" s="1578">
        <v>703</v>
      </c>
      <c r="O211" s="1924"/>
      <c r="P211" s="132"/>
      <c r="Q211" s="132"/>
      <c r="R211" s="132"/>
    </row>
    <row r="212" spans="1:21">
      <c r="A212" s="510" t="s">
        <v>1534</v>
      </c>
      <c r="B212" s="1795">
        <f>B207-B210-B211</f>
        <v>27955.160000000003</v>
      </c>
      <c r="C212" s="29"/>
      <c r="D212" s="1802" t="s">
        <v>3360</v>
      </c>
      <c r="E212" s="1578">
        <v>745</v>
      </c>
      <c r="O212" s="439"/>
      <c r="P212" s="132"/>
      <c r="Q212" s="132"/>
      <c r="R212" s="132"/>
    </row>
    <row r="213" spans="1:21" ht="10.8" thickBot="1">
      <c r="A213" s="768" t="s">
        <v>466</v>
      </c>
      <c r="B213" s="1798">
        <f>B212/12</f>
        <v>2329.5966666666668</v>
      </c>
      <c r="D213" s="1267" t="s">
        <v>2525</v>
      </c>
      <c r="E213" s="1578">
        <v>260</v>
      </c>
      <c r="O213" s="439"/>
      <c r="P213" s="132"/>
      <c r="Q213" s="132"/>
      <c r="R213" s="132"/>
    </row>
    <row r="214" spans="1:21">
      <c r="D214" s="1267" t="s">
        <v>3776</v>
      </c>
      <c r="E214" s="1578">
        <v>467.64</v>
      </c>
      <c r="O214" s="439"/>
      <c r="P214" s="132"/>
      <c r="Q214" s="132"/>
      <c r="R214" s="132"/>
    </row>
    <row r="215" spans="1:21">
      <c r="D215" s="1267" t="s">
        <v>3255</v>
      </c>
      <c r="E215" s="1578">
        <v>315.04000000000002</v>
      </c>
      <c r="O215" s="439"/>
      <c r="P215" s="132"/>
      <c r="Q215" s="132"/>
      <c r="R215" s="132"/>
    </row>
    <row r="216" spans="1:21">
      <c r="D216" s="1267" t="s">
        <v>3777</v>
      </c>
      <c r="E216" s="1578">
        <f>833.8/2</f>
        <v>416.9</v>
      </c>
      <c r="O216" s="439"/>
      <c r="P216" s="132"/>
      <c r="Q216" s="132"/>
      <c r="R216" s="132"/>
    </row>
    <row r="217" spans="1:21" ht="10.8" thickBot="1">
      <c r="D217" s="1323" t="s">
        <v>3778</v>
      </c>
      <c r="E217" s="1803">
        <f>7000/2</f>
        <v>3500</v>
      </c>
      <c r="O217" s="439"/>
      <c r="P217" s="132"/>
      <c r="Q217" s="132"/>
      <c r="R217" s="132"/>
    </row>
    <row r="218" spans="1:21">
      <c r="O218" s="132"/>
      <c r="P218" s="132"/>
      <c r="Q218" s="132"/>
      <c r="R218" s="132"/>
    </row>
    <row r="219" spans="1:21">
      <c r="O219" s="132"/>
      <c r="P219" s="132"/>
      <c r="Q219" s="132"/>
      <c r="R219" s="132"/>
    </row>
    <row r="220" spans="1:21">
      <c r="O220" s="132"/>
      <c r="P220" s="132"/>
      <c r="Q220" s="132"/>
      <c r="R220" s="132"/>
    </row>
    <row r="221" spans="1:21">
      <c r="O221" s="132"/>
      <c r="P221" s="132"/>
      <c r="Q221" s="132"/>
      <c r="R221" s="132"/>
    </row>
    <row r="222" spans="1:21">
      <c r="O222" s="132"/>
      <c r="P222" s="132"/>
      <c r="Q222" s="132"/>
      <c r="R222" s="132"/>
    </row>
    <row r="223" spans="1:21">
      <c r="C223" s="86"/>
      <c r="D223" s="86"/>
      <c r="O223" s="132"/>
      <c r="P223" s="132"/>
      <c r="Q223" s="132"/>
      <c r="R223" s="132"/>
    </row>
    <row r="224" spans="1:21">
      <c r="A224" s="870" t="s">
        <v>4028</v>
      </c>
      <c r="C224" s="86"/>
      <c r="D224" s="86"/>
    </row>
    <row r="225" spans="1:35" s="1549" customFormat="1">
      <c r="A225" s="2000" t="s">
        <v>4367</v>
      </c>
      <c r="B225" s="1549" t="s">
        <v>344</v>
      </c>
      <c r="C225" s="1987">
        <v>45738</v>
      </c>
      <c r="D225" s="1987">
        <v>45752</v>
      </c>
      <c r="E225" s="1549" t="s">
        <v>4368</v>
      </c>
      <c r="G225" s="2001">
        <v>54300</v>
      </c>
      <c r="H225" s="1549" t="s">
        <v>4369</v>
      </c>
      <c r="I225" s="1549" t="s">
        <v>23</v>
      </c>
      <c r="J225" s="1549" t="s">
        <v>19</v>
      </c>
      <c r="K225" s="1549" t="s">
        <v>4371</v>
      </c>
      <c r="L225" s="1549" t="s">
        <v>4370</v>
      </c>
      <c r="N225" s="2002" t="s">
        <v>4394</v>
      </c>
      <c r="O225" s="1982">
        <v>2280</v>
      </c>
      <c r="Q225" s="1549" t="s">
        <v>3062</v>
      </c>
      <c r="R225" s="1982">
        <v>2</v>
      </c>
      <c r="S225" s="1982">
        <v>3</v>
      </c>
      <c r="T225" s="1982">
        <v>3</v>
      </c>
      <c r="U225" s="1998" t="s">
        <v>4391</v>
      </c>
      <c r="V225" s="1981">
        <v>45700</v>
      </c>
      <c r="W225" s="1549" t="s">
        <v>1665</v>
      </c>
      <c r="X225" s="1549" t="s">
        <v>1154</v>
      </c>
      <c r="Y225" s="1998"/>
      <c r="Z225" s="1998"/>
    </row>
    <row r="226" spans="1:35" s="1160" customFormat="1" ht="0.6" customHeight="1">
      <c r="A226" s="1160" t="s">
        <v>4278</v>
      </c>
      <c r="B226" s="1160" t="s">
        <v>4279</v>
      </c>
      <c r="C226" s="1161">
        <v>45738</v>
      </c>
      <c r="D226" s="1161">
        <v>45752</v>
      </c>
      <c r="G226" s="1969"/>
      <c r="I226" s="1160" t="s">
        <v>18</v>
      </c>
      <c r="K226" s="1163"/>
      <c r="L226" s="1160" t="s">
        <v>4280</v>
      </c>
      <c r="N226" s="1164"/>
      <c r="O226" s="1948">
        <v>0</v>
      </c>
      <c r="Q226" s="1160" t="s">
        <v>4322</v>
      </c>
      <c r="R226" s="1949">
        <v>0</v>
      </c>
      <c r="S226" s="1162">
        <v>2</v>
      </c>
      <c r="T226" s="1162">
        <v>0</v>
      </c>
      <c r="U226" s="1966"/>
      <c r="V226" s="1161">
        <v>45643</v>
      </c>
      <c r="W226" s="1160" t="s">
        <v>4323</v>
      </c>
      <c r="Y226" s="1502"/>
      <c r="Z226" s="1502"/>
    </row>
    <row r="227" spans="1:35" s="1549" customFormat="1" ht="13.2">
      <c r="A227" s="1549" t="s">
        <v>2863</v>
      </c>
      <c r="B227" s="1549" t="s">
        <v>2264</v>
      </c>
      <c r="C227" s="1981">
        <v>45752</v>
      </c>
      <c r="D227" s="1981">
        <v>45759</v>
      </c>
      <c r="E227" s="1995" t="s">
        <v>4237</v>
      </c>
      <c r="G227" s="2003" t="s">
        <v>3146</v>
      </c>
      <c r="H227" s="1549" t="s">
        <v>3147</v>
      </c>
      <c r="I227" s="1549" t="s">
        <v>54</v>
      </c>
      <c r="J227" s="1549" t="s">
        <v>51</v>
      </c>
      <c r="L227" s="1995" t="s">
        <v>2864</v>
      </c>
      <c r="N227" s="1983" t="s">
        <v>2865</v>
      </c>
      <c r="O227" s="1997">
        <f>1290+42</f>
        <v>1332</v>
      </c>
      <c r="Q227" s="1549" t="s">
        <v>4238</v>
      </c>
      <c r="R227" s="1998">
        <v>1</v>
      </c>
      <c r="S227" s="1982">
        <v>4</v>
      </c>
      <c r="T227" s="1982">
        <v>2</v>
      </c>
      <c r="U227" s="1999" t="s">
        <v>4239</v>
      </c>
      <c r="V227" s="1981">
        <v>45613</v>
      </c>
      <c r="W227" s="1549" t="s">
        <v>3015</v>
      </c>
      <c r="Y227" s="1998"/>
      <c r="Z227" s="1998"/>
    </row>
    <row r="228" spans="1:35" s="1549" customFormat="1" ht="13.2">
      <c r="A228" s="1549" t="s">
        <v>4038</v>
      </c>
      <c r="B228" s="1549" t="s">
        <v>4039</v>
      </c>
      <c r="C228" s="1981">
        <v>45759</v>
      </c>
      <c r="D228" s="1981">
        <v>45766</v>
      </c>
      <c r="E228" s="1995" t="s">
        <v>4040</v>
      </c>
      <c r="G228" s="2003" t="s">
        <v>4041</v>
      </c>
      <c r="H228" s="1549" t="s">
        <v>4042</v>
      </c>
      <c r="I228" s="1549" t="s">
        <v>18</v>
      </c>
      <c r="J228" s="1549" t="s">
        <v>51</v>
      </c>
      <c r="L228" s="1995" t="s">
        <v>4043</v>
      </c>
      <c r="N228" s="1983" t="s">
        <v>4044</v>
      </c>
      <c r="O228" s="1997">
        <f>1290+70+21</f>
        <v>1381</v>
      </c>
      <c r="Q228" s="1549" t="s">
        <v>2674</v>
      </c>
      <c r="R228" s="1998">
        <v>1</v>
      </c>
      <c r="S228" s="1982">
        <v>2</v>
      </c>
      <c r="T228" s="1982">
        <v>1</v>
      </c>
      <c r="U228" s="1999" t="s">
        <v>4046</v>
      </c>
      <c r="V228" s="1981">
        <v>45435</v>
      </c>
      <c r="W228" s="1549" t="s">
        <v>1338</v>
      </c>
      <c r="X228" s="1549" t="s">
        <v>1154</v>
      </c>
      <c r="Y228" s="1998" t="s">
        <v>4502</v>
      </c>
      <c r="Z228" s="1998"/>
    </row>
    <row r="229" spans="1:35" s="1549" customFormat="1" ht="13.2">
      <c r="A229" s="1549" t="s">
        <v>4395</v>
      </c>
      <c r="B229" s="1549" t="s">
        <v>4396</v>
      </c>
      <c r="C229" s="1981">
        <v>45766</v>
      </c>
      <c r="D229" s="1981">
        <v>45773</v>
      </c>
      <c r="E229" s="1995" t="s">
        <v>4397</v>
      </c>
      <c r="G229" s="2003" t="s">
        <v>4398</v>
      </c>
      <c r="H229" s="1549" t="s">
        <v>551</v>
      </c>
      <c r="I229" s="1549" t="s">
        <v>18</v>
      </c>
      <c r="J229" s="1549" t="s">
        <v>51</v>
      </c>
      <c r="L229" s="1995" t="s">
        <v>4399</v>
      </c>
      <c r="N229" s="1983" t="s">
        <v>4400</v>
      </c>
      <c r="O229" s="1997">
        <f>1290+70</f>
        <v>1360</v>
      </c>
      <c r="Q229" s="1549" t="s">
        <v>4401</v>
      </c>
      <c r="R229" s="1998">
        <v>1</v>
      </c>
      <c r="S229" s="1982">
        <v>1</v>
      </c>
      <c r="T229" s="1982">
        <v>1</v>
      </c>
      <c r="U229" s="1999" t="s">
        <v>4413</v>
      </c>
      <c r="V229" s="1981">
        <v>45709</v>
      </c>
      <c r="W229" s="1549" t="s">
        <v>1769</v>
      </c>
      <c r="X229" s="1549" t="s">
        <v>1154</v>
      </c>
      <c r="Y229" s="1998"/>
      <c r="Z229" s="1998"/>
    </row>
    <row r="230" spans="1:35" s="1549" customFormat="1" ht="13.2">
      <c r="A230" s="1549" t="s">
        <v>4355</v>
      </c>
      <c r="B230" s="1549" t="s">
        <v>4356</v>
      </c>
      <c r="C230" s="1981">
        <v>45773</v>
      </c>
      <c r="D230" s="1981">
        <v>45780</v>
      </c>
      <c r="E230" s="1995" t="s">
        <v>4357</v>
      </c>
      <c r="G230" s="1996">
        <v>7141</v>
      </c>
      <c r="H230" s="1549" t="s">
        <v>4358</v>
      </c>
      <c r="I230" s="1549" t="s">
        <v>36</v>
      </c>
      <c r="J230" s="1549" t="s">
        <v>19</v>
      </c>
      <c r="L230" s="1995" t="s">
        <v>4359</v>
      </c>
      <c r="N230" s="1983" t="s">
        <v>4360</v>
      </c>
      <c r="O230" s="1997">
        <f>1390+70+3*7*2</f>
        <v>1502</v>
      </c>
      <c r="Q230" s="1549" t="s">
        <v>4483</v>
      </c>
      <c r="R230" s="1998">
        <v>1</v>
      </c>
      <c r="S230" s="1982">
        <v>5</v>
      </c>
      <c r="T230" s="1982">
        <v>2</v>
      </c>
      <c r="U230" s="1999" t="s">
        <v>4379</v>
      </c>
      <c r="V230" s="1981">
        <v>45698</v>
      </c>
      <c r="W230" s="1549" t="s">
        <v>1665</v>
      </c>
      <c r="X230" s="1549" t="s">
        <v>1154</v>
      </c>
      <c r="Y230" s="1998"/>
      <c r="Z230" s="1998"/>
    </row>
    <row r="231" spans="1:35" s="1549" customFormat="1" ht="12.6" customHeight="1">
      <c r="A231" s="1549" t="s">
        <v>4437</v>
      </c>
      <c r="B231" s="1549" t="s">
        <v>528</v>
      </c>
      <c r="C231" s="1981">
        <v>45780</v>
      </c>
      <c r="D231" s="1981">
        <v>45787</v>
      </c>
      <c r="E231" s="1995" t="s">
        <v>4433</v>
      </c>
      <c r="G231" s="1996" t="s">
        <v>4434</v>
      </c>
      <c r="H231" s="1549" t="s">
        <v>1056</v>
      </c>
      <c r="I231" s="1549" t="s">
        <v>18</v>
      </c>
      <c r="J231" s="1549" t="s">
        <v>51</v>
      </c>
      <c r="L231" s="1995" t="s">
        <v>4435</v>
      </c>
      <c r="N231" s="1983" t="s">
        <v>4436</v>
      </c>
      <c r="O231" s="1997">
        <f>1390+70+21</f>
        <v>1481</v>
      </c>
      <c r="Q231" s="1549" t="s">
        <v>2674</v>
      </c>
      <c r="R231" s="1998">
        <v>1</v>
      </c>
      <c r="S231" s="1982">
        <v>2</v>
      </c>
      <c r="T231" s="1982">
        <v>1</v>
      </c>
      <c r="U231" s="1999" t="s">
        <v>4446</v>
      </c>
      <c r="V231" s="1981">
        <v>45719</v>
      </c>
      <c r="W231" s="1549" t="s">
        <v>1477</v>
      </c>
      <c r="X231" s="1549" t="s">
        <v>1154</v>
      </c>
      <c r="Y231" s="1998"/>
      <c r="Z231" s="1998"/>
    </row>
    <row r="232" spans="1:35" s="1549" customFormat="1" ht="13.2">
      <c r="A232" s="1549" t="s">
        <v>4403</v>
      </c>
      <c r="B232" s="1549" t="s">
        <v>4414</v>
      </c>
      <c r="C232" s="1981">
        <v>45787</v>
      </c>
      <c r="D232" s="1981">
        <v>45801</v>
      </c>
      <c r="E232" s="2025" t="s">
        <v>4407</v>
      </c>
      <c r="G232" s="2026" t="s">
        <v>4409</v>
      </c>
      <c r="H232" s="2025" t="s">
        <v>4408</v>
      </c>
      <c r="I232" s="1549" t="s">
        <v>18</v>
      </c>
      <c r="J232" s="1549" t="s">
        <v>1023</v>
      </c>
      <c r="K232" s="2025" t="s">
        <v>4405</v>
      </c>
      <c r="L232" s="1995" t="s">
        <v>4406</v>
      </c>
      <c r="N232" s="1983" t="s">
        <v>4404</v>
      </c>
      <c r="O232" s="1997">
        <f>1390*2+42+70</f>
        <v>2892</v>
      </c>
      <c r="Q232" s="1549" t="s">
        <v>1025</v>
      </c>
      <c r="R232" s="1998">
        <v>2</v>
      </c>
      <c r="S232" s="1982">
        <v>2</v>
      </c>
      <c r="T232" s="1982">
        <v>1</v>
      </c>
      <c r="U232" s="1999" t="s">
        <v>4425</v>
      </c>
      <c r="V232" s="1981" t="s">
        <v>4410</v>
      </c>
      <c r="W232" s="1549" t="s">
        <v>1477</v>
      </c>
      <c r="X232" s="1549" t="s">
        <v>1154</v>
      </c>
      <c r="Y232" s="1998"/>
      <c r="Z232" s="1998"/>
    </row>
    <row r="233" spans="1:35" s="1418" customFormat="1" ht="13.2">
      <c r="A233" s="1549" t="s">
        <v>2480</v>
      </c>
      <c r="B233" s="1549" t="s">
        <v>4215</v>
      </c>
      <c r="C233" s="1981">
        <v>45801</v>
      </c>
      <c r="D233" s="1981">
        <v>45815</v>
      </c>
      <c r="E233" s="1995" t="s">
        <v>4216</v>
      </c>
      <c r="F233" s="1549"/>
      <c r="G233" s="2003" t="s">
        <v>4217</v>
      </c>
      <c r="H233" s="1549" t="s">
        <v>4218</v>
      </c>
      <c r="I233" s="1549" t="s">
        <v>18</v>
      </c>
      <c r="J233" s="1549" t="s">
        <v>51</v>
      </c>
      <c r="K233" s="1549"/>
      <c r="L233" s="1995" t="s">
        <v>4219</v>
      </c>
      <c r="M233" s="1549"/>
      <c r="N233" s="1983" t="s">
        <v>4220</v>
      </c>
      <c r="O233" s="359">
        <f>1590*2</f>
        <v>3180</v>
      </c>
      <c r="Q233" s="1549" t="s">
        <v>4526</v>
      </c>
      <c r="R233" s="1998">
        <v>2</v>
      </c>
      <c r="S233" s="1982">
        <v>2</v>
      </c>
      <c r="T233" s="1982">
        <v>1</v>
      </c>
      <c r="U233" s="1999" t="s">
        <v>4221</v>
      </c>
      <c r="V233" s="1981">
        <v>45599</v>
      </c>
      <c r="W233" s="1549" t="s">
        <v>1477</v>
      </c>
      <c r="X233" s="1549" t="s">
        <v>1154</v>
      </c>
      <c r="Y233" s="1982">
        <v>2497</v>
      </c>
      <c r="Z233" s="1998"/>
      <c r="AA233" s="1549"/>
      <c r="AB233" s="1549"/>
      <c r="AC233" s="1549"/>
      <c r="AD233" s="1549"/>
      <c r="AE233" s="1549"/>
      <c r="AF233" s="1549"/>
      <c r="AG233" s="1549"/>
      <c r="AH233" s="1549"/>
      <c r="AI233" s="1549"/>
    </row>
    <row r="234" spans="1:35" s="498" customFormat="1">
      <c r="A234" s="498" t="s">
        <v>4230</v>
      </c>
      <c r="B234" s="498" t="s">
        <v>3474</v>
      </c>
      <c r="C234" s="499">
        <v>45822</v>
      </c>
      <c r="D234" s="499">
        <v>45836</v>
      </c>
      <c r="E234" s="498" t="s">
        <v>4232</v>
      </c>
      <c r="G234" s="2037">
        <v>2510</v>
      </c>
      <c r="H234" s="498" t="s">
        <v>4233</v>
      </c>
      <c r="I234" s="498" t="s">
        <v>4231</v>
      </c>
      <c r="J234" s="498" t="s">
        <v>51</v>
      </c>
      <c r="L234" s="938" t="s">
        <v>4234</v>
      </c>
      <c r="N234" s="868" t="s">
        <v>4229</v>
      </c>
      <c r="O234" s="502">
        <f>3980+70+2*3*14</f>
        <v>4134</v>
      </c>
      <c r="Q234" s="498" t="s">
        <v>4537</v>
      </c>
      <c r="R234" s="1490">
        <v>2</v>
      </c>
      <c r="S234" s="500">
        <v>4</v>
      </c>
      <c r="T234" s="500">
        <v>2</v>
      </c>
      <c r="U234" s="981" t="s">
        <v>4235</v>
      </c>
      <c r="V234" s="499">
        <v>45607</v>
      </c>
      <c r="W234" s="498" t="s">
        <v>1769</v>
      </c>
      <c r="X234" s="498" t="s">
        <v>1154</v>
      </c>
      <c r="Y234" s="1490" t="s">
        <v>4538</v>
      </c>
      <c r="Z234" s="1490"/>
    </row>
    <row r="235" spans="1:35" s="498" customFormat="1" ht="13.2">
      <c r="A235" s="498" t="s">
        <v>4300</v>
      </c>
      <c r="B235" s="498" t="s">
        <v>4301</v>
      </c>
      <c r="C235" s="499">
        <v>45836</v>
      </c>
      <c r="D235" s="499">
        <v>45843</v>
      </c>
      <c r="E235" s="498" t="s">
        <v>4302</v>
      </c>
      <c r="G235" s="2037"/>
      <c r="I235" s="498" t="s">
        <v>168</v>
      </c>
      <c r="J235" s="498" t="s">
        <v>1023</v>
      </c>
      <c r="L235" s="938" t="s">
        <v>4303</v>
      </c>
      <c r="N235" s="501" t="s">
        <v>4304</v>
      </c>
      <c r="O235" s="2038">
        <f>2490+70+3*3*7-0.5</f>
        <v>2622.5</v>
      </c>
      <c r="Q235" s="498" t="s">
        <v>4305</v>
      </c>
      <c r="R235" s="1490">
        <v>1</v>
      </c>
      <c r="S235" s="500">
        <v>6</v>
      </c>
      <c r="T235" s="500">
        <v>3</v>
      </c>
      <c r="U235" s="981" t="s">
        <v>4313</v>
      </c>
      <c r="V235" s="499">
        <v>45670</v>
      </c>
      <c r="W235" s="498" t="s">
        <v>1769</v>
      </c>
      <c r="X235" s="498" t="s">
        <v>1154</v>
      </c>
      <c r="Y235" s="1490"/>
      <c r="Z235" s="1490"/>
    </row>
    <row r="236" spans="1:35" s="498" customFormat="1" ht="13.2">
      <c r="A236" s="498" t="s">
        <v>4336</v>
      </c>
      <c r="B236" s="498" t="s">
        <v>4097</v>
      </c>
      <c r="C236" s="499">
        <v>45843</v>
      </c>
      <c r="D236" s="499">
        <v>45857</v>
      </c>
      <c r="E236" s="498" t="s">
        <v>4337</v>
      </c>
      <c r="G236" s="2037">
        <v>2371</v>
      </c>
      <c r="H236" s="498" t="s">
        <v>4338</v>
      </c>
      <c r="I236" s="498" t="s">
        <v>1775</v>
      </c>
      <c r="J236" s="498" t="s">
        <v>51</v>
      </c>
      <c r="L236" s="938" t="s">
        <v>4339</v>
      </c>
      <c r="N236" s="501" t="s">
        <v>4340</v>
      </c>
      <c r="O236" s="502">
        <f>2490*2+70</f>
        <v>5050</v>
      </c>
      <c r="Q236" s="498" t="s">
        <v>4553</v>
      </c>
      <c r="R236" s="1490">
        <v>2</v>
      </c>
      <c r="S236" s="500">
        <v>2</v>
      </c>
      <c r="T236" s="500">
        <v>1</v>
      </c>
      <c r="U236" s="981">
        <v>1245</v>
      </c>
      <c r="V236" s="499">
        <v>45697</v>
      </c>
      <c r="W236" s="498" t="s">
        <v>1665</v>
      </c>
      <c r="X236" s="498" t="s">
        <v>1154</v>
      </c>
      <c r="Y236" s="1490"/>
      <c r="Z236" s="1490"/>
    </row>
    <row r="237" spans="1:35" s="498" customFormat="1" ht="13.2">
      <c r="A237" s="498" t="s">
        <v>4246</v>
      </c>
      <c r="B237" s="498" t="s">
        <v>4247</v>
      </c>
      <c r="C237" s="499">
        <v>45857</v>
      </c>
      <c r="D237" s="499">
        <v>45871</v>
      </c>
      <c r="E237" s="498" t="s">
        <v>4248</v>
      </c>
      <c r="G237" s="2037" t="s">
        <v>4249</v>
      </c>
      <c r="H237" s="498" t="s">
        <v>4250</v>
      </c>
      <c r="I237" s="498" t="s">
        <v>18</v>
      </c>
      <c r="J237" s="498" t="s">
        <v>51</v>
      </c>
      <c r="L237" s="938" t="s">
        <v>4251</v>
      </c>
      <c r="N237" s="501" t="s">
        <v>4252</v>
      </c>
      <c r="O237" s="502">
        <f>4980+70+2*14*3</f>
        <v>5134</v>
      </c>
      <c r="Q237" s="498" t="s">
        <v>4253</v>
      </c>
      <c r="R237" s="1490">
        <v>2</v>
      </c>
      <c r="S237" s="500">
        <v>5</v>
      </c>
      <c r="T237" s="500">
        <v>2</v>
      </c>
      <c r="U237" s="981" t="s">
        <v>4281</v>
      </c>
      <c r="V237" s="499">
        <v>45633</v>
      </c>
      <c r="W237" s="498" t="s">
        <v>1769</v>
      </c>
      <c r="X237" s="498" t="s">
        <v>1154</v>
      </c>
      <c r="Y237" s="1490"/>
      <c r="Z237" s="1490"/>
    </row>
    <row r="238" spans="1:35" s="498" customFormat="1" ht="13.2">
      <c r="A238" s="498" t="s">
        <v>4136</v>
      </c>
      <c r="B238" s="498" t="s">
        <v>627</v>
      </c>
      <c r="C238" s="499">
        <v>45871</v>
      </c>
      <c r="D238" s="499">
        <v>45885</v>
      </c>
      <c r="E238" s="938" t="s">
        <v>4137</v>
      </c>
      <c r="G238" s="2046" t="s">
        <v>4138</v>
      </c>
      <c r="H238" s="498" t="s">
        <v>4139</v>
      </c>
      <c r="I238" s="498" t="s">
        <v>18</v>
      </c>
      <c r="J238" s="498" t="s">
        <v>51</v>
      </c>
      <c r="K238" s="498" t="s">
        <v>4141</v>
      </c>
      <c r="L238" s="938" t="s">
        <v>4140</v>
      </c>
      <c r="N238" s="501" t="s">
        <v>4142</v>
      </c>
      <c r="O238" s="502">
        <f>2490*2+70+3*14</f>
        <v>5092</v>
      </c>
      <c r="Q238" s="498" t="s">
        <v>4171</v>
      </c>
      <c r="R238" s="1490">
        <v>2</v>
      </c>
      <c r="S238" s="500">
        <v>4</v>
      </c>
      <c r="T238" s="500">
        <v>1</v>
      </c>
      <c r="U238" s="981" t="s">
        <v>4162</v>
      </c>
      <c r="V238" s="499">
        <v>45546</v>
      </c>
      <c r="W238" s="498" t="s">
        <v>1769</v>
      </c>
      <c r="X238" s="498" t="s">
        <v>1154</v>
      </c>
      <c r="Y238" s="1490"/>
      <c r="Z238" s="1490"/>
    </row>
    <row r="239" spans="1:35" s="498" customFormat="1" ht="13.2">
      <c r="A239" s="498" t="s">
        <v>4240</v>
      </c>
      <c r="B239" s="498" t="s">
        <v>4241</v>
      </c>
      <c r="C239" s="499">
        <v>45885</v>
      </c>
      <c r="D239" s="499">
        <v>45906</v>
      </c>
      <c r="E239" s="938" t="s">
        <v>4242</v>
      </c>
      <c r="G239" s="2046" t="s">
        <v>4243</v>
      </c>
      <c r="H239" s="498" t="s">
        <v>4244</v>
      </c>
      <c r="I239" s="498" t="s">
        <v>18</v>
      </c>
      <c r="J239" s="498" t="s">
        <v>51</v>
      </c>
      <c r="L239" s="938" t="s">
        <v>4245</v>
      </c>
      <c r="N239" s="501" t="s">
        <v>4587</v>
      </c>
      <c r="O239" s="502">
        <f>2490+2490+2190</f>
        <v>7170</v>
      </c>
      <c r="Q239" s="1618" t="s">
        <v>4580</v>
      </c>
      <c r="R239" s="1490">
        <v>3</v>
      </c>
      <c r="S239" s="500">
        <v>2</v>
      </c>
      <c r="T239" s="500">
        <v>1</v>
      </c>
      <c r="U239" s="981" t="s">
        <v>4282</v>
      </c>
      <c r="V239" s="499">
        <v>45627</v>
      </c>
      <c r="W239" s="498" t="s">
        <v>1769</v>
      </c>
      <c r="X239" s="498" t="s">
        <v>1154</v>
      </c>
      <c r="Y239" s="1490"/>
      <c r="Z239" s="1490"/>
    </row>
    <row r="240" spans="1:35" s="408" customFormat="1" ht="12" customHeight="1">
      <c r="A240" s="408" t="s">
        <v>4331</v>
      </c>
      <c r="B240" s="408" t="s">
        <v>4636</v>
      </c>
      <c r="C240" s="409">
        <v>45906</v>
      </c>
      <c r="D240" s="409">
        <v>45913</v>
      </c>
      <c r="E240" s="408" t="s">
        <v>4332</v>
      </c>
      <c r="G240" s="2055"/>
      <c r="I240" s="408" t="s">
        <v>36</v>
      </c>
      <c r="J240" s="408" t="s">
        <v>19</v>
      </c>
      <c r="L240" s="408" t="s">
        <v>4333</v>
      </c>
      <c r="N240" s="850" t="s">
        <v>4334</v>
      </c>
      <c r="O240" s="414">
        <v>522.5</v>
      </c>
      <c r="Q240" s="408" t="s">
        <v>4348</v>
      </c>
      <c r="R240" s="1495">
        <v>0</v>
      </c>
      <c r="S240" s="410">
        <v>2</v>
      </c>
      <c r="T240" s="410">
        <v>0</v>
      </c>
      <c r="U240" s="596" t="s">
        <v>4347</v>
      </c>
      <c r="V240" s="409">
        <v>45695</v>
      </c>
      <c r="W240" s="408" t="s">
        <v>4335</v>
      </c>
      <c r="X240" s="408" t="s">
        <v>1154</v>
      </c>
      <c r="Y240" s="1495"/>
      <c r="Z240" s="1495"/>
    </row>
    <row r="241" spans="1:27" s="498" customFormat="1" ht="12" customHeight="1">
      <c r="A241" s="498" t="s">
        <v>1556</v>
      </c>
      <c r="B241" s="498" t="s">
        <v>1557</v>
      </c>
      <c r="C241" s="499">
        <v>45906</v>
      </c>
      <c r="D241" s="499">
        <v>45913</v>
      </c>
      <c r="E241" s="498" t="s">
        <v>1558</v>
      </c>
      <c r="G241" s="500" t="s">
        <v>1559</v>
      </c>
      <c r="H241" s="498" t="s">
        <v>1560</v>
      </c>
      <c r="I241" s="498" t="s">
        <v>1561</v>
      </c>
      <c r="J241" s="498" t="s">
        <v>180</v>
      </c>
      <c r="L241" s="498" t="s">
        <v>1430</v>
      </c>
      <c r="M241" s="498" t="s">
        <v>3053</v>
      </c>
      <c r="N241" s="868" t="s">
        <v>1562</v>
      </c>
      <c r="O241" s="502">
        <f>2090*0.8+70</f>
        <v>1742</v>
      </c>
      <c r="Q241" s="498" t="s">
        <v>2674</v>
      </c>
      <c r="R241" s="1490">
        <v>1</v>
      </c>
      <c r="S241" s="500">
        <v>2</v>
      </c>
      <c r="T241" s="500">
        <v>1</v>
      </c>
      <c r="U241" s="503" t="s">
        <v>4637</v>
      </c>
      <c r="V241" s="499">
        <v>45877</v>
      </c>
      <c r="W241" s="498" t="s">
        <v>3054</v>
      </c>
      <c r="X241" s="498" t="s">
        <v>1217</v>
      </c>
      <c r="Y241" s="1490" t="s">
        <v>3055</v>
      </c>
      <c r="Z241" s="1490"/>
    </row>
    <row r="242" spans="1:27" s="498" customFormat="1" ht="12" customHeight="1">
      <c r="A242" s="498" t="s">
        <v>2707</v>
      </c>
      <c r="B242" s="498" t="s">
        <v>2709</v>
      </c>
      <c r="C242" s="499">
        <v>45913</v>
      </c>
      <c r="D242" s="499">
        <v>45927</v>
      </c>
      <c r="E242" s="498" t="s">
        <v>4172</v>
      </c>
      <c r="G242" s="2066" t="s">
        <v>4173</v>
      </c>
      <c r="H242" s="498" t="s">
        <v>4174</v>
      </c>
      <c r="I242" s="498" t="s">
        <v>18</v>
      </c>
      <c r="J242" s="498" t="s">
        <v>51</v>
      </c>
      <c r="L242" s="498" t="s">
        <v>4175</v>
      </c>
      <c r="N242" s="501" t="s">
        <v>2708</v>
      </c>
      <c r="O242" s="359">
        <f>1590*2</f>
        <v>3180</v>
      </c>
      <c r="Q242" s="498" t="s">
        <v>4730</v>
      </c>
      <c r="R242" s="1490">
        <v>2</v>
      </c>
      <c r="S242" s="500">
        <v>4</v>
      </c>
      <c r="T242" s="500">
        <v>4</v>
      </c>
      <c r="U242" s="498" t="s">
        <v>4184</v>
      </c>
      <c r="V242" s="499">
        <v>45564</v>
      </c>
      <c r="Y242" s="1490"/>
      <c r="Z242" s="1490">
        <v>2580</v>
      </c>
      <c r="AA242" s="1616">
        <f>2580+795</f>
        <v>3375</v>
      </c>
    </row>
    <row r="243" spans="1:27" s="498" customFormat="1" ht="12" customHeight="1">
      <c r="A243" s="498" t="s">
        <v>4415</v>
      </c>
      <c r="B243" s="498" t="s">
        <v>264</v>
      </c>
      <c r="C243" s="499">
        <v>45927</v>
      </c>
      <c r="D243" s="499">
        <v>45934</v>
      </c>
      <c r="E243" s="498" t="s">
        <v>4416</v>
      </c>
      <c r="G243" s="2066" t="s">
        <v>4417</v>
      </c>
      <c r="H243" s="498" t="s">
        <v>4421</v>
      </c>
      <c r="I243" s="498" t="s">
        <v>18</v>
      </c>
      <c r="J243" s="498" t="s">
        <v>51</v>
      </c>
      <c r="L243" s="498" t="s">
        <v>4418</v>
      </c>
      <c r="N243" s="501" t="s">
        <v>4420</v>
      </c>
      <c r="O243" s="502">
        <v>1290</v>
      </c>
      <c r="Q243" s="498" t="s">
        <v>4723</v>
      </c>
      <c r="R243" s="1490">
        <v>1</v>
      </c>
      <c r="S243" s="500">
        <v>4</v>
      </c>
      <c r="T243" s="500">
        <v>2</v>
      </c>
      <c r="U243" s="1490">
        <f>1290/4</f>
        <v>322.5</v>
      </c>
      <c r="V243" s="499">
        <v>45834</v>
      </c>
      <c r="W243" s="498" t="s">
        <v>1665</v>
      </c>
      <c r="X243" s="498" t="s">
        <v>1154</v>
      </c>
      <c r="Y243" s="1490"/>
      <c r="Z243" s="1490"/>
    </row>
    <row r="244" spans="1:27" s="498" customFormat="1" ht="12" customHeight="1">
      <c r="A244" s="498" t="s">
        <v>4008</v>
      </c>
      <c r="B244" s="498" t="s">
        <v>4059</v>
      </c>
      <c r="C244" s="499">
        <v>45934</v>
      </c>
      <c r="D244" s="499">
        <v>45955</v>
      </c>
      <c r="E244" s="498" t="s">
        <v>4126</v>
      </c>
      <c r="G244" s="2066" t="s">
        <v>4124</v>
      </c>
      <c r="H244" s="498" t="s">
        <v>4125</v>
      </c>
      <c r="I244" s="498" t="s">
        <v>18</v>
      </c>
      <c r="J244" s="498" t="s">
        <v>51</v>
      </c>
      <c r="L244" s="498" t="s">
        <v>4058</v>
      </c>
      <c r="N244" s="501" t="s">
        <v>4841</v>
      </c>
      <c r="O244" s="502">
        <f>1290*3+70+21*3</f>
        <v>4003</v>
      </c>
      <c r="Q244" s="498" t="s">
        <v>4734</v>
      </c>
      <c r="R244" s="1490">
        <v>3</v>
      </c>
      <c r="S244" s="500">
        <v>2</v>
      </c>
      <c r="T244" s="500">
        <v>1</v>
      </c>
      <c r="U244" s="498" t="s">
        <v>4164</v>
      </c>
      <c r="V244" s="499">
        <v>45543</v>
      </c>
      <c r="W244" s="498" t="s">
        <v>4127</v>
      </c>
      <c r="X244" s="498" t="s">
        <v>1154</v>
      </c>
      <c r="Y244" s="1490"/>
      <c r="Z244" s="1490"/>
    </row>
    <row r="245" spans="1:27" s="2064" customFormat="1" ht="13.2">
      <c r="A245" s="498" t="s">
        <v>4355</v>
      </c>
      <c r="B245" s="498" t="s">
        <v>4539</v>
      </c>
      <c r="C245" s="499">
        <v>45955</v>
      </c>
      <c r="D245" s="499">
        <v>45962</v>
      </c>
      <c r="E245" s="938" t="s">
        <v>4357</v>
      </c>
      <c r="F245" s="498"/>
      <c r="G245" s="2037">
        <v>7141</v>
      </c>
      <c r="H245" s="498" t="s">
        <v>4358</v>
      </c>
      <c r="I245" s="498" t="s">
        <v>36</v>
      </c>
      <c r="J245" s="498" t="s">
        <v>19</v>
      </c>
      <c r="K245" s="498"/>
      <c r="L245" s="938" t="s">
        <v>4359</v>
      </c>
      <c r="M245" s="498"/>
      <c r="N245" s="501" t="s">
        <v>4540</v>
      </c>
      <c r="O245" s="359">
        <v>1090</v>
      </c>
      <c r="Q245" s="498" t="s">
        <v>4483</v>
      </c>
      <c r="R245" s="1490">
        <v>1</v>
      </c>
      <c r="S245" s="500">
        <v>5</v>
      </c>
      <c r="T245" s="500">
        <v>2</v>
      </c>
      <c r="U245" s="981"/>
      <c r="V245" s="499" t="s">
        <v>4729</v>
      </c>
      <c r="W245" s="498" t="s">
        <v>4533</v>
      </c>
      <c r="X245" s="498" t="s">
        <v>1519</v>
      </c>
      <c r="Y245" s="2065"/>
      <c r="Z245" s="2065"/>
    </row>
    <row r="246" spans="1:27" s="498" customFormat="1" ht="13.2">
      <c r="A246" s="498" t="s">
        <v>3402</v>
      </c>
      <c r="B246" s="498" t="s">
        <v>4542</v>
      </c>
      <c r="C246" s="499">
        <v>45962</v>
      </c>
      <c r="D246" s="499">
        <v>45976</v>
      </c>
      <c r="E246" s="938"/>
      <c r="G246" s="2037"/>
      <c r="I246" s="498" t="s">
        <v>18</v>
      </c>
      <c r="J246" s="498" t="s">
        <v>51</v>
      </c>
      <c r="L246" s="938" t="s">
        <v>4543</v>
      </c>
      <c r="N246" s="501" t="s">
        <v>4541</v>
      </c>
      <c r="O246" s="502">
        <f>1090*2+3*3*14+70</f>
        <v>2376</v>
      </c>
      <c r="Q246" s="498" t="s">
        <v>3303</v>
      </c>
      <c r="R246" s="1490">
        <v>2</v>
      </c>
      <c r="S246" s="500">
        <v>2</v>
      </c>
      <c r="T246" s="500">
        <v>3</v>
      </c>
      <c r="U246" s="981" t="s">
        <v>4544</v>
      </c>
      <c r="V246" s="499">
        <v>45817</v>
      </c>
      <c r="W246" s="498" t="s">
        <v>1665</v>
      </c>
      <c r="X246" s="498" t="s">
        <v>1154</v>
      </c>
      <c r="Y246" s="1490"/>
      <c r="Z246" s="1490"/>
    </row>
    <row r="247" spans="1:27" ht="13.2">
      <c r="C247" s="31"/>
      <c r="D247" s="31" t="s">
        <v>4801</v>
      </c>
      <c r="E247" s="495"/>
      <c r="G247" s="2095"/>
      <c r="L247" s="495"/>
      <c r="N247" s="683"/>
      <c r="O247" s="684"/>
      <c r="S247" s="132"/>
      <c r="T247" s="132"/>
      <c r="U247" s="916"/>
    </row>
    <row r="248" spans="1:27" s="498" customFormat="1" ht="12" customHeight="1">
      <c r="A248" s="498" t="s">
        <v>4647</v>
      </c>
      <c r="B248" s="498" t="s">
        <v>4648</v>
      </c>
      <c r="C248" s="499">
        <v>46011</v>
      </c>
      <c r="D248" s="499">
        <v>46018</v>
      </c>
      <c r="E248" s="498" t="s">
        <v>4649</v>
      </c>
      <c r="G248" s="500">
        <v>4100</v>
      </c>
      <c r="H248" s="498" t="s">
        <v>4650</v>
      </c>
      <c r="I248" s="498" t="s">
        <v>36</v>
      </c>
      <c r="J248" s="498" t="s">
        <v>19</v>
      </c>
      <c r="L248" s="688" t="s">
        <v>4651</v>
      </c>
      <c r="N248" s="501" t="s">
        <v>4652</v>
      </c>
      <c r="O248" s="1040">
        <f>1390+70+21+9</f>
        <v>1490</v>
      </c>
      <c r="Q248" s="498" t="s">
        <v>4833</v>
      </c>
      <c r="R248" s="1490">
        <v>1</v>
      </c>
      <c r="S248" s="500">
        <v>3</v>
      </c>
      <c r="T248" s="500">
        <v>1</v>
      </c>
      <c r="U248" s="981" t="s">
        <v>4654</v>
      </c>
      <c r="V248" s="499">
        <v>45881</v>
      </c>
      <c r="W248" s="498" t="s">
        <v>1665</v>
      </c>
      <c r="X248" s="498" t="s">
        <v>1154</v>
      </c>
      <c r="Y248" s="1490"/>
      <c r="Z248" s="1490"/>
    </row>
    <row r="249" spans="1:27" s="498" customFormat="1" ht="12" customHeight="1">
      <c r="A249" s="1925" t="s">
        <v>4528</v>
      </c>
      <c r="B249" s="498" t="s">
        <v>4529</v>
      </c>
      <c r="C249" s="499">
        <v>46019</v>
      </c>
      <c r="D249" s="499">
        <v>46026</v>
      </c>
      <c r="E249" s="498" t="s">
        <v>291</v>
      </c>
      <c r="G249" s="500">
        <v>66292</v>
      </c>
      <c r="H249" s="498" t="s">
        <v>292</v>
      </c>
      <c r="I249" s="498" t="s">
        <v>18</v>
      </c>
      <c r="J249" s="498" t="s">
        <v>51</v>
      </c>
      <c r="K249" s="498" t="s">
        <v>294</v>
      </c>
      <c r="L249" s="498" t="s">
        <v>4530</v>
      </c>
      <c r="N249" s="501" t="s">
        <v>4525</v>
      </c>
      <c r="O249" s="2100">
        <f>1390+70+2*3*7</f>
        <v>1502</v>
      </c>
      <c r="Q249" s="498" t="s">
        <v>4832</v>
      </c>
      <c r="R249" s="894">
        <v>1</v>
      </c>
      <c r="S249" s="500">
        <v>2</v>
      </c>
      <c r="T249" s="500">
        <v>2</v>
      </c>
      <c r="U249" s="2101" t="s">
        <v>4534</v>
      </c>
      <c r="V249" s="499">
        <v>45794</v>
      </c>
      <c r="W249" s="498" t="s">
        <v>4531</v>
      </c>
      <c r="Y249" s="1490"/>
      <c r="Z249" s="1490"/>
    </row>
    <row r="250" spans="1:27" ht="10.8" customHeight="1">
      <c r="I250" s="8" t="s">
        <v>3418</v>
      </c>
    </row>
    <row r="251" spans="1:27" ht="10.8" thickBot="1">
      <c r="O251" s="132"/>
      <c r="P251" s="132"/>
      <c r="Q251" s="132"/>
      <c r="R251" s="132"/>
    </row>
    <row r="252" spans="1:27" ht="10.8" thickBot="1">
      <c r="A252" s="18" t="s">
        <v>4029</v>
      </c>
      <c r="B252" s="767">
        <f>SUM(O226:O251)</f>
        <v>59526</v>
      </c>
      <c r="C252" s="1964">
        <f>B252/B207</f>
        <v>0.95620071894162839</v>
      </c>
      <c r="D252" s="791" t="s">
        <v>4045</v>
      </c>
      <c r="E252" s="1577">
        <f>SUM(E253:E264)</f>
        <v>17068.989999999998</v>
      </c>
      <c r="O252" s="132"/>
      <c r="P252" s="132"/>
      <c r="Q252" s="132"/>
      <c r="R252" s="132"/>
      <c r="U252" s="457">
        <f>795*4</f>
        <v>3180</v>
      </c>
    </row>
    <row r="253" spans="1:27" ht="10.8" thickBot="1">
      <c r="A253" s="768" t="s">
        <v>463</v>
      </c>
      <c r="B253" s="1929">
        <f>SUM(R219:R256)</f>
        <v>35</v>
      </c>
      <c r="C253" s="1965">
        <f>B252/B253</f>
        <v>1700.7428571428572</v>
      </c>
      <c r="D253" s="1802" t="s">
        <v>3247</v>
      </c>
      <c r="E253" s="1578">
        <v>132.46</v>
      </c>
      <c r="O253" s="132"/>
      <c r="P253" s="132"/>
      <c r="Q253" s="132"/>
      <c r="R253" s="132"/>
    </row>
    <row r="254" spans="1:27" ht="10.8" thickBot="1">
      <c r="A254" s="7"/>
      <c r="B254" s="7"/>
      <c r="C254" s="29"/>
      <c r="D254" s="17" t="s">
        <v>3779</v>
      </c>
      <c r="E254" s="1127">
        <v>1236.77</v>
      </c>
      <c r="P254" s="132"/>
      <c r="Q254" s="132"/>
      <c r="R254" s="132"/>
    </row>
    <row r="255" spans="1:27" ht="10.8" thickBot="1">
      <c r="A255" s="18" t="s">
        <v>464</v>
      </c>
      <c r="B255" s="1799">
        <f>(1788.54+225.66)*12</f>
        <v>24170.400000000001</v>
      </c>
      <c r="C255" s="29"/>
      <c r="D255" s="1802" t="s">
        <v>3209</v>
      </c>
      <c r="E255" s="1578">
        <f>10*100+10*120</f>
        <v>2200</v>
      </c>
      <c r="P255" s="132"/>
      <c r="Q255" s="132"/>
      <c r="R255" s="132"/>
      <c r="U255" s="439">
        <f>272.5+908.5</f>
        <v>1181</v>
      </c>
      <c r="Y255" s="439">
        <f>2497+795</f>
        <v>3292</v>
      </c>
    </row>
    <row r="256" spans="1:27" ht="10.8" thickBot="1">
      <c r="A256" s="1800" t="s">
        <v>574</v>
      </c>
      <c r="B256" s="1801">
        <f>E252</f>
        <v>17068.989999999998</v>
      </c>
      <c r="C256" s="29"/>
      <c r="D256" s="17" t="s">
        <v>4700</v>
      </c>
      <c r="E256" s="1127">
        <v>747</v>
      </c>
      <c r="G256" s="132">
        <v>73</v>
      </c>
      <c r="O256" s="132"/>
      <c r="P256" s="132"/>
      <c r="Q256" s="132"/>
      <c r="R256" s="132"/>
    </row>
    <row r="257" spans="1:26">
      <c r="A257" s="510" t="s">
        <v>1534</v>
      </c>
      <c r="B257" s="1795">
        <f>B252-B255-B256</f>
        <v>18286.61</v>
      </c>
      <c r="C257" s="29"/>
      <c r="D257" s="17" t="s">
        <v>4837</v>
      </c>
      <c r="E257" s="1127">
        <v>904</v>
      </c>
      <c r="G257" s="132">
        <v>88</v>
      </c>
      <c r="O257" s="132"/>
      <c r="P257" s="132"/>
      <c r="Q257" s="132"/>
      <c r="R257" s="132"/>
    </row>
    <row r="258" spans="1:26" ht="15" thickBot="1">
      <c r="A258" s="768" t="s">
        <v>466</v>
      </c>
      <c r="B258" s="1798">
        <f>B257/12</f>
        <v>1523.8841666666667</v>
      </c>
      <c r="D258" s="10" t="s">
        <v>2525</v>
      </c>
      <c r="E258" s="1127">
        <v>420</v>
      </c>
      <c r="G258" s="998" t="s">
        <v>4838</v>
      </c>
      <c r="O258" s="132"/>
      <c r="P258" s="132"/>
      <c r="Q258" s="132"/>
      <c r="R258" s="132"/>
    </row>
    <row r="259" spans="1:26">
      <c r="D259" s="10" t="s">
        <v>3776</v>
      </c>
      <c r="E259" s="1127">
        <v>443.76</v>
      </c>
      <c r="G259" s="8" t="s">
        <v>4746</v>
      </c>
      <c r="P259" s="132"/>
      <c r="Q259" s="132"/>
      <c r="R259" s="132"/>
    </row>
    <row r="260" spans="1:26">
      <c r="D260" s="10" t="s">
        <v>4411</v>
      </c>
      <c r="E260" s="1127">
        <v>420.67</v>
      </c>
      <c r="U260" s="457">
        <f>545+1831</f>
        <v>2376</v>
      </c>
    </row>
    <row r="261" spans="1:26">
      <c r="D261" s="10" t="s">
        <v>4955</v>
      </c>
      <c r="E261" s="1127">
        <v>761.33</v>
      </c>
    </row>
    <row r="262" spans="1:26">
      <c r="D262" s="10" t="s">
        <v>4491</v>
      </c>
      <c r="E262" s="1127">
        <v>5775</v>
      </c>
    </row>
    <row r="263" spans="1:26">
      <c r="D263" s="1267" t="s">
        <v>4412</v>
      </c>
      <c r="E263" s="1578">
        <f>1000</f>
        <v>1000</v>
      </c>
    </row>
    <row r="264" spans="1:26" ht="10.8" thickBot="1">
      <c r="D264" s="519" t="s">
        <v>3778</v>
      </c>
      <c r="E264" s="1226">
        <v>3028</v>
      </c>
      <c r="O264" s="2023"/>
    </row>
    <row r="265" spans="1:26">
      <c r="O265" s="2023"/>
    </row>
    <row r="266" spans="1:26">
      <c r="O266" s="2023"/>
    </row>
    <row r="267" spans="1:26">
      <c r="A267" s="870" t="s">
        <v>4389</v>
      </c>
      <c r="O267" s="2023"/>
    </row>
    <row r="268" spans="1:26">
      <c r="A268" s="870"/>
      <c r="O268" s="2023"/>
    </row>
    <row r="269" spans="1:26" s="498" customFormat="1" ht="13.2">
      <c r="A269" s="1616" t="s">
        <v>4851</v>
      </c>
      <c r="B269" s="498" t="s">
        <v>4852</v>
      </c>
      <c r="C269" s="504">
        <v>46036</v>
      </c>
      <c r="D269" s="504">
        <v>46043</v>
      </c>
      <c r="E269" s="498" t="s">
        <v>4862</v>
      </c>
      <c r="H269" s="498" t="s">
        <v>4860</v>
      </c>
      <c r="I269" s="498" t="s">
        <v>18</v>
      </c>
      <c r="L269" s="498" t="s">
        <v>4861</v>
      </c>
      <c r="N269" s="501" t="s">
        <v>4854</v>
      </c>
      <c r="O269" s="2122">
        <f>1090+70+2*3*7</f>
        <v>1202</v>
      </c>
      <c r="Q269" s="498" t="s">
        <v>4865</v>
      </c>
      <c r="R269" s="1490">
        <v>1</v>
      </c>
      <c r="S269" s="500">
        <v>2</v>
      </c>
      <c r="T269" s="1490">
        <v>2</v>
      </c>
      <c r="U269" s="498" t="s">
        <v>4853</v>
      </c>
      <c r="V269" s="499">
        <v>46019</v>
      </c>
      <c r="W269" s="498" t="s">
        <v>1477</v>
      </c>
      <c r="Y269" s="1490"/>
      <c r="Z269" s="1490"/>
    </row>
    <row r="270" spans="1:26" ht="13.2">
      <c r="A270" s="457"/>
      <c r="C270" s="86"/>
      <c r="D270" s="86"/>
      <c r="N270" s="683"/>
      <c r="O270" s="2023"/>
      <c r="S270" s="132"/>
      <c r="T270" s="439"/>
    </row>
    <row r="271" spans="1:26" s="498" customFormat="1" ht="13.2">
      <c r="A271" s="1616" t="s">
        <v>4892</v>
      </c>
      <c r="B271" s="498" t="s">
        <v>4702</v>
      </c>
      <c r="C271" s="504">
        <v>46067</v>
      </c>
      <c r="D271" s="504">
        <v>46074</v>
      </c>
      <c r="E271" s="498" t="s">
        <v>4893</v>
      </c>
      <c r="G271" s="498" t="s">
        <v>4894</v>
      </c>
      <c r="H271" s="498" t="s">
        <v>4895</v>
      </c>
      <c r="I271" s="498" t="s">
        <v>18</v>
      </c>
      <c r="L271" s="498" t="s">
        <v>4896</v>
      </c>
      <c r="N271" s="501"/>
      <c r="O271" s="2122">
        <f>250+801</f>
        <v>1051</v>
      </c>
      <c r="Q271" s="498" t="s">
        <v>3338</v>
      </c>
      <c r="R271" s="1490">
        <v>1</v>
      </c>
      <c r="S271" s="500">
        <v>2</v>
      </c>
      <c r="T271" s="1490">
        <v>1</v>
      </c>
      <c r="U271" s="498" t="s">
        <v>4905</v>
      </c>
      <c r="V271" s="499">
        <v>46052</v>
      </c>
      <c r="W271" s="498" t="s">
        <v>1477</v>
      </c>
      <c r="X271" s="498" t="s">
        <v>4917</v>
      </c>
      <c r="Y271" s="1490"/>
      <c r="Z271" s="1490"/>
    </row>
    <row r="272" spans="1:26">
      <c r="O272" s="2023"/>
      <c r="S272" s="132"/>
    </row>
    <row r="273" spans="1:26" s="498" customFormat="1" ht="12" customHeight="1">
      <c r="A273" s="498" t="s">
        <v>4622</v>
      </c>
      <c r="B273" s="498" t="s">
        <v>4623</v>
      </c>
      <c r="C273" s="499">
        <v>46109</v>
      </c>
      <c r="D273" s="499">
        <v>46116</v>
      </c>
      <c r="E273" s="498" t="s">
        <v>4624</v>
      </c>
      <c r="G273" s="500" t="s">
        <v>3638</v>
      </c>
      <c r="H273" s="498" t="s">
        <v>3639</v>
      </c>
      <c r="I273" s="498" t="s">
        <v>18</v>
      </c>
      <c r="J273" s="498" t="s">
        <v>51</v>
      </c>
      <c r="L273" s="498" t="s">
        <v>4897</v>
      </c>
      <c r="N273" s="501" t="s">
        <v>4625</v>
      </c>
      <c r="O273" s="1040">
        <f>297.5+892.5+112</f>
        <v>1302</v>
      </c>
      <c r="Q273" s="498" t="s">
        <v>4986</v>
      </c>
      <c r="R273" s="894">
        <v>1</v>
      </c>
      <c r="S273" s="500">
        <v>2</v>
      </c>
      <c r="T273" s="500">
        <v>2</v>
      </c>
      <c r="U273" s="1879" t="s">
        <v>4632</v>
      </c>
      <c r="V273" s="499">
        <v>45865</v>
      </c>
      <c r="W273" s="498" t="s">
        <v>1477</v>
      </c>
      <c r="X273" s="498" t="s">
        <v>1154</v>
      </c>
      <c r="Y273" s="1490"/>
      <c r="Z273" s="1490"/>
    </row>
    <row r="274" spans="1:26" ht="12" customHeight="1">
      <c r="C274" s="31"/>
      <c r="D274" s="31"/>
      <c r="G274" s="132"/>
      <c r="N274" s="2051"/>
      <c r="O274" s="1108"/>
      <c r="R274" s="685"/>
      <c r="S274" s="132"/>
      <c r="T274" s="132"/>
      <c r="U274" s="1894"/>
    </row>
    <row r="275" spans="1:26" s="498" customFormat="1" ht="12" customHeight="1">
      <c r="A275" s="498" t="s">
        <v>4626</v>
      </c>
      <c r="B275" s="498" t="s">
        <v>4627</v>
      </c>
      <c r="C275" s="499">
        <v>46137</v>
      </c>
      <c r="D275" s="499">
        <v>46144</v>
      </c>
      <c r="E275" s="498" t="s">
        <v>4628</v>
      </c>
      <c r="G275" s="500" t="s">
        <v>4629</v>
      </c>
      <c r="H275" s="498" t="s">
        <v>4630</v>
      </c>
      <c r="I275" s="498" t="s">
        <v>18</v>
      </c>
      <c r="J275" s="498" t="s">
        <v>51</v>
      </c>
      <c r="L275" s="2131" t="s">
        <v>4631</v>
      </c>
      <c r="N275" s="501" t="s">
        <v>4633</v>
      </c>
      <c r="O275" s="1040">
        <f>347.5+1133.5</f>
        <v>1481</v>
      </c>
      <c r="Q275" s="498" t="s">
        <v>2674</v>
      </c>
      <c r="R275" s="894">
        <v>1</v>
      </c>
      <c r="S275" s="500">
        <v>2</v>
      </c>
      <c r="T275" s="500">
        <v>1</v>
      </c>
      <c r="U275" s="1879" t="s">
        <v>4635</v>
      </c>
      <c r="V275" s="499">
        <v>45868</v>
      </c>
      <c r="W275" s="498" t="s">
        <v>1477</v>
      </c>
      <c r="X275" s="498" t="s">
        <v>1154</v>
      </c>
      <c r="Y275" s="1490"/>
      <c r="Z275" s="1490"/>
    </row>
    <row r="276" spans="1:26" s="2063" customFormat="1" ht="12" customHeight="1">
      <c r="A276" s="498" t="s">
        <v>2304</v>
      </c>
      <c r="B276" s="498" t="s">
        <v>4532</v>
      </c>
      <c r="C276" s="499">
        <v>46144</v>
      </c>
      <c r="D276" s="499">
        <v>46158</v>
      </c>
      <c r="E276" s="498" t="s">
        <v>2305</v>
      </c>
      <c r="F276" s="498"/>
      <c r="G276" s="500" t="s">
        <v>2306</v>
      </c>
      <c r="H276" s="498" t="s">
        <v>2307</v>
      </c>
      <c r="I276" s="498" t="s">
        <v>18</v>
      </c>
      <c r="J276" s="498" t="s">
        <v>1023</v>
      </c>
      <c r="K276" s="498" t="s">
        <v>2309</v>
      </c>
      <c r="L276" s="498" t="s">
        <v>4030</v>
      </c>
      <c r="N276" s="501" t="s">
        <v>4031</v>
      </c>
      <c r="O276" s="1036">
        <f>745+2400</f>
        <v>3145</v>
      </c>
      <c r="Q276" s="498" t="s">
        <v>5014</v>
      </c>
      <c r="R276" s="894">
        <v>2</v>
      </c>
      <c r="S276" s="500">
        <v>2</v>
      </c>
      <c r="T276" s="500">
        <v>2</v>
      </c>
      <c r="U276" s="1879" t="s">
        <v>4535</v>
      </c>
      <c r="V276" s="499">
        <v>45795</v>
      </c>
      <c r="W276" s="498"/>
      <c r="X276" s="2063" t="s">
        <v>1154</v>
      </c>
      <c r="Y276" s="1487">
        <v>2400</v>
      </c>
      <c r="Z276" s="2125"/>
    </row>
    <row r="277" spans="1:26" s="498" customFormat="1" ht="13.2">
      <c r="A277" s="498" t="s">
        <v>4545</v>
      </c>
      <c r="B277" s="498" t="s">
        <v>4546</v>
      </c>
      <c r="C277" s="504">
        <v>46158</v>
      </c>
      <c r="D277" s="504">
        <v>46165</v>
      </c>
      <c r="E277" s="498" t="s">
        <v>4547</v>
      </c>
      <c r="G277" s="498" t="s">
        <v>4548</v>
      </c>
      <c r="H277" s="498" t="s">
        <v>4549</v>
      </c>
      <c r="I277" s="498" t="s">
        <v>51</v>
      </c>
      <c r="J277" s="498" t="s">
        <v>51</v>
      </c>
      <c r="L277" s="498" t="s">
        <v>4550</v>
      </c>
      <c r="N277" s="501" t="s">
        <v>4551</v>
      </c>
      <c r="O277" s="2112">
        <f>1590+70+3*2*7</f>
        <v>1702</v>
      </c>
      <c r="Q277" s="498" t="s">
        <v>5054</v>
      </c>
      <c r="R277" s="1490">
        <v>1</v>
      </c>
      <c r="S277" s="500">
        <v>2</v>
      </c>
      <c r="T277" s="500">
        <v>2</v>
      </c>
      <c r="U277" s="498" t="s">
        <v>4552</v>
      </c>
      <c r="V277" s="499">
        <v>45831</v>
      </c>
      <c r="X277" s="498" t="s">
        <v>1154</v>
      </c>
      <c r="Y277" s="1490"/>
      <c r="Z277" s="1490"/>
    </row>
    <row r="278" spans="1:26" s="498" customFormat="1" ht="13.2">
      <c r="A278" s="498" t="s">
        <v>4403</v>
      </c>
      <c r="B278" s="498" t="s">
        <v>4414</v>
      </c>
      <c r="C278" s="499">
        <v>46165</v>
      </c>
      <c r="D278" s="499">
        <v>46179</v>
      </c>
      <c r="E278" s="2144" t="s">
        <v>4407</v>
      </c>
      <c r="G278" s="2145" t="s">
        <v>4409</v>
      </c>
      <c r="H278" s="2144" t="s">
        <v>4408</v>
      </c>
      <c r="I278" s="498" t="s">
        <v>18</v>
      </c>
      <c r="J278" s="498" t="s">
        <v>1023</v>
      </c>
      <c r="K278" s="2144" t="s">
        <v>4405</v>
      </c>
      <c r="L278" s="938" t="s">
        <v>4406</v>
      </c>
      <c r="N278" s="501" t="s">
        <v>4404</v>
      </c>
      <c r="O278" s="502">
        <f>1790*2+70</f>
        <v>3650</v>
      </c>
      <c r="Q278" s="498" t="s">
        <v>5033</v>
      </c>
      <c r="R278" s="1490">
        <v>2</v>
      </c>
      <c r="S278" s="500">
        <v>2</v>
      </c>
      <c r="T278" s="500">
        <v>1</v>
      </c>
      <c r="U278" s="981" t="s">
        <v>4840</v>
      </c>
      <c r="V278" s="499">
        <v>46008</v>
      </c>
      <c r="W278" s="498" t="s">
        <v>4533</v>
      </c>
      <c r="X278" s="498" t="s">
        <v>1154</v>
      </c>
      <c r="Y278" s="1490"/>
      <c r="Z278" s="1490"/>
    </row>
    <row r="279" spans="1:26" s="498" customFormat="1" ht="12" customHeight="1">
      <c r="A279" s="498" t="s">
        <v>1556</v>
      </c>
      <c r="B279" s="498" t="s">
        <v>1557</v>
      </c>
      <c r="C279" s="499">
        <v>46186</v>
      </c>
      <c r="D279" s="499">
        <v>46193</v>
      </c>
      <c r="E279" s="498" t="s">
        <v>1558</v>
      </c>
      <c r="G279" s="500" t="s">
        <v>1559</v>
      </c>
      <c r="H279" s="498" t="s">
        <v>1560</v>
      </c>
      <c r="I279" s="498" t="s">
        <v>1561</v>
      </c>
      <c r="J279" s="498" t="s">
        <v>180</v>
      </c>
      <c r="L279" s="498" t="s">
        <v>1430</v>
      </c>
      <c r="M279" s="498" t="s">
        <v>3053</v>
      </c>
      <c r="N279" s="501" t="s">
        <v>1562</v>
      </c>
      <c r="O279" s="502">
        <f>2190+750</f>
        <v>2940</v>
      </c>
      <c r="Q279" s="498" t="s">
        <v>2674</v>
      </c>
      <c r="R279" s="1490">
        <v>1</v>
      </c>
      <c r="S279" s="500">
        <v>2</v>
      </c>
      <c r="T279" s="500">
        <v>1</v>
      </c>
      <c r="U279" s="503" t="s">
        <v>4863</v>
      </c>
      <c r="V279" s="499">
        <v>46020</v>
      </c>
      <c r="W279" s="498" t="s">
        <v>3054</v>
      </c>
      <c r="X279" s="498" t="s">
        <v>1154</v>
      </c>
      <c r="Y279" s="1490"/>
      <c r="Z279" s="1490"/>
    </row>
    <row r="280" spans="1:26" s="498" customFormat="1" ht="13.2">
      <c r="A280" s="498" t="s">
        <v>4504</v>
      </c>
      <c r="B280" s="498" t="s">
        <v>4505</v>
      </c>
      <c r="C280" s="504">
        <v>46193</v>
      </c>
      <c r="D280" s="504">
        <v>46207</v>
      </c>
      <c r="E280" s="498" t="s">
        <v>4506</v>
      </c>
      <c r="G280" s="498" t="s">
        <v>4507</v>
      </c>
      <c r="H280" s="498" t="s">
        <v>4508</v>
      </c>
      <c r="I280" s="498" t="s">
        <v>18</v>
      </c>
      <c r="J280" s="498" t="s">
        <v>51</v>
      </c>
      <c r="L280" s="498" t="s">
        <v>4509</v>
      </c>
      <c r="N280" s="501" t="s">
        <v>4520</v>
      </c>
      <c r="O280" s="2112">
        <f>4980+70+42</f>
        <v>5092</v>
      </c>
      <c r="Q280" s="498" t="s">
        <v>5069</v>
      </c>
      <c r="R280" s="1490">
        <v>2</v>
      </c>
      <c r="S280" s="500">
        <v>3</v>
      </c>
      <c r="T280" s="500">
        <v>1</v>
      </c>
      <c r="U280" s="498" t="s">
        <v>4519</v>
      </c>
      <c r="V280" s="499">
        <v>45774</v>
      </c>
      <c r="W280" s="498" t="s">
        <v>1477</v>
      </c>
      <c r="X280" s="498" t="s">
        <v>1154</v>
      </c>
      <c r="Y280" s="1490"/>
      <c r="Z280" s="1490"/>
    </row>
    <row r="281" spans="1:26" s="498" customFormat="1" ht="13.2">
      <c r="A281" s="498" t="s">
        <v>3940</v>
      </c>
      <c r="B281" s="498" t="s">
        <v>5088</v>
      </c>
      <c r="C281" s="504">
        <v>46207</v>
      </c>
      <c r="D281" s="504">
        <v>46221</v>
      </c>
      <c r="E281" s="2144" t="s">
        <v>4692</v>
      </c>
      <c r="G281" s="498" t="s">
        <v>1455</v>
      </c>
      <c r="H281" s="498" t="s">
        <v>1456</v>
      </c>
      <c r="I281" s="498" t="s">
        <v>18</v>
      </c>
      <c r="J281" s="498" t="s">
        <v>51</v>
      </c>
      <c r="L281" s="2144" t="s">
        <v>4693</v>
      </c>
      <c r="N281" s="501" t="s">
        <v>4691</v>
      </c>
      <c r="O281" s="2112">
        <f>2490+2790+70</f>
        <v>5350</v>
      </c>
      <c r="Q281" s="498" t="s">
        <v>2674</v>
      </c>
      <c r="R281" s="1490">
        <v>2</v>
      </c>
      <c r="S281" s="500">
        <v>2</v>
      </c>
      <c r="T281" s="500">
        <v>1</v>
      </c>
      <c r="U281" s="1490">
        <f>1320+2500+1530</f>
        <v>5350</v>
      </c>
      <c r="V281" s="499">
        <v>45914</v>
      </c>
      <c r="W281" s="498" t="s">
        <v>1477</v>
      </c>
      <c r="X281" s="498" t="s">
        <v>1154</v>
      </c>
      <c r="Y281" s="1490">
        <f>5280-2500-1320+70</f>
        <v>1530</v>
      </c>
      <c r="Z281" s="1490"/>
    </row>
    <row r="282" spans="1:26" s="498" customFormat="1" ht="13.2">
      <c r="A282" s="498" t="s">
        <v>4667</v>
      </c>
      <c r="B282" s="498" t="s">
        <v>4668</v>
      </c>
      <c r="C282" s="504">
        <v>46221</v>
      </c>
      <c r="D282" s="504">
        <v>46235</v>
      </c>
      <c r="E282" s="498" t="s">
        <v>4669</v>
      </c>
      <c r="G282" s="498" t="s">
        <v>4670</v>
      </c>
      <c r="H282" s="498" t="s">
        <v>4671</v>
      </c>
      <c r="I282" s="498" t="s">
        <v>18</v>
      </c>
      <c r="J282" s="498" t="s">
        <v>51</v>
      </c>
      <c r="L282" s="498" t="s">
        <v>4672</v>
      </c>
      <c r="N282" s="501" t="s">
        <v>4673</v>
      </c>
      <c r="O282" s="2112">
        <f>2790*2+70</f>
        <v>5650</v>
      </c>
      <c r="Q282" s="498" t="s">
        <v>5153</v>
      </c>
      <c r="R282" s="1490">
        <v>2</v>
      </c>
      <c r="S282" s="500">
        <v>3</v>
      </c>
      <c r="T282" s="500">
        <v>2</v>
      </c>
      <c r="U282" s="498" t="s">
        <v>4682</v>
      </c>
      <c r="V282" s="499">
        <v>46259</v>
      </c>
      <c r="W282" s="498" t="s">
        <v>1477</v>
      </c>
      <c r="X282" s="498" t="s">
        <v>1154</v>
      </c>
      <c r="Y282" s="1490"/>
      <c r="Z282" s="1490"/>
    </row>
    <row r="283" spans="1:26" s="498" customFormat="1" ht="13.2">
      <c r="A283" s="498" t="s">
        <v>4802</v>
      </c>
      <c r="B283" s="498" t="s">
        <v>4803</v>
      </c>
      <c r="C283" s="504">
        <v>46235</v>
      </c>
      <c r="D283" s="504">
        <v>46249</v>
      </c>
      <c r="E283" s="498" t="s">
        <v>4804</v>
      </c>
      <c r="G283" s="498" t="s">
        <v>4805</v>
      </c>
      <c r="H283" s="498" t="s">
        <v>4806</v>
      </c>
      <c r="I283" s="498" t="s">
        <v>18</v>
      </c>
      <c r="J283" s="498" t="s">
        <v>51</v>
      </c>
      <c r="L283" s="498" t="s">
        <v>4807</v>
      </c>
      <c r="N283" s="501" t="s">
        <v>4808</v>
      </c>
      <c r="O283" s="2112">
        <f>2790*2</f>
        <v>5580</v>
      </c>
      <c r="Q283" s="498" t="s">
        <v>4809</v>
      </c>
      <c r="R283" s="1490">
        <v>2</v>
      </c>
      <c r="S283" s="500">
        <v>3</v>
      </c>
      <c r="T283" s="500">
        <v>1</v>
      </c>
      <c r="U283" s="498" t="s">
        <v>4811</v>
      </c>
      <c r="V283" s="499">
        <v>45968</v>
      </c>
      <c r="W283" s="498" t="s">
        <v>1477</v>
      </c>
      <c r="X283" s="498" t="s">
        <v>1154</v>
      </c>
      <c r="Y283" s="1490"/>
      <c r="Z283" s="1490"/>
    </row>
    <row r="284" spans="1:26" s="2126" customFormat="1" ht="13.2">
      <c r="A284" s="2191" t="s">
        <v>4884</v>
      </c>
      <c r="B284" s="2126" t="s">
        <v>4885</v>
      </c>
      <c r="C284" s="2130">
        <v>46249</v>
      </c>
      <c r="D284" s="2130">
        <v>46256</v>
      </c>
      <c r="E284" s="2126" t="s">
        <v>4886</v>
      </c>
      <c r="G284" s="2126" t="s">
        <v>4887</v>
      </c>
      <c r="H284" s="2126" t="s">
        <v>4888</v>
      </c>
      <c r="I284" s="2126" t="s">
        <v>4480</v>
      </c>
      <c r="J284" s="2126" t="s">
        <v>51</v>
      </c>
      <c r="L284" s="2126" t="s">
        <v>4889</v>
      </c>
      <c r="N284" s="2128" t="s">
        <v>4890</v>
      </c>
      <c r="O284" s="2192">
        <v>2790</v>
      </c>
      <c r="Q284" s="2126" t="s">
        <v>5148</v>
      </c>
      <c r="R284" s="2129">
        <v>1</v>
      </c>
      <c r="S284" s="2127">
        <v>3</v>
      </c>
      <c r="T284" s="2127" t="s">
        <v>4891</v>
      </c>
      <c r="U284" s="2126" t="s">
        <v>4906</v>
      </c>
      <c r="V284" s="2146">
        <v>46049</v>
      </c>
      <c r="W284" s="2126" t="s">
        <v>1477</v>
      </c>
      <c r="X284" s="2126" t="s">
        <v>1154</v>
      </c>
      <c r="Y284" s="2129"/>
      <c r="Z284" s="2129"/>
    </row>
    <row r="285" spans="1:26" s="115" customFormat="1" ht="13.2">
      <c r="A285" s="961" t="s">
        <v>1924</v>
      </c>
      <c r="B285" s="115" t="s">
        <v>4937</v>
      </c>
      <c r="C285" s="120">
        <v>46256</v>
      </c>
      <c r="D285" s="120">
        <v>46263</v>
      </c>
      <c r="E285" s="115" t="s">
        <v>4926</v>
      </c>
      <c r="G285" s="115" t="s">
        <v>4927</v>
      </c>
      <c r="I285" s="115" t="s">
        <v>18</v>
      </c>
      <c r="J285" s="115" t="s">
        <v>51</v>
      </c>
      <c r="L285" s="115" t="s">
        <v>4928</v>
      </c>
      <c r="N285" s="121" t="s">
        <v>4938</v>
      </c>
      <c r="O285" s="1033">
        <v>2490</v>
      </c>
      <c r="Q285" s="115" t="s">
        <v>2674</v>
      </c>
      <c r="R285" s="1486">
        <v>1</v>
      </c>
      <c r="S285" s="361">
        <v>2</v>
      </c>
      <c r="T285" s="361">
        <v>1</v>
      </c>
      <c r="U285" s="115" t="s">
        <v>4929</v>
      </c>
      <c r="V285" s="116">
        <v>46073</v>
      </c>
      <c r="W285" s="115" t="s">
        <v>1477</v>
      </c>
      <c r="X285" s="115" t="s">
        <v>1154</v>
      </c>
      <c r="Y285" s="1486"/>
      <c r="Z285" s="1486"/>
    </row>
    <row r="286" spans="1:26" s="115" customFormat="1" ht="13.2">
      <c r="A286" s="115" t="s">
        <v>4898</v>
      </c>
      <c r="B286" s="115" t="s">
        <v>182</v>
      </c>
      <c r="C286" s="120">
        <v>46263</v>
      </c>
      <c r="D286" s="120">
        <v>46270</v>
      </c>
      <c r="E286" s="115" t="s">
        <v>4899</v>
      </c>
      <c r="G286" s="115" t="s">
        <v>4900</v>
      </c>
      <c r="H286" s="115" t="s">
        <v>4901</v>
      </c>
      <c r="I286" s="115" t="s">
        <v>18</v>
      </c>
      <c r="J286" s="115" t="s">
        <v>51</v>
      </c>
      <c r="L286" s="115" t="s">
        <v>4902</v>
      </c>
      <c r="N286" s="121" t="s">
        <v>4903</v>
      </c>
      <c r="O286" s="1033">
        <f>2490+70</f>
        <v>2560</v>
      </c>
      <c r="Q286" s="115" t="s">
        <v>4904</v>
      </c>
      <c r="R286" s="1486">
        <v>1</v>
      </c>
      <c r="S286" s="361">
        <v>2</v>
      </c>
      <c r="T286" s="361">
        <v>1</v>
      </c>
      <c r="U286" s="115" t="s">
        <v>4908</v>
      </c>
      <c r="V286" s="116">
        <v>46054</v>
      </c>
      <c r="W286" s="115" t="s">
        <v>1477</v>
      </c>
      <c r="X286" s="115" t="s">
        <v>1154</v>
      </c>
      <c r="Y286" s="1486"/>
      <c r="Z286" s="1486"/>
    </row>
    <row r="287" spans="1:26" s="115" customFormat="1" ht="13.2">
      <c r="A287" s="115" t="s">
        <v>4778</v>
      </c>
      <c r="B287" s="115" t="s">
        <v>4779</v>
      </c>
      <c r="C287" s="120">
        <v>46270</v>
      </c>
      <c r="D287" s="120">
        <v>46277</v>
      </c>
      <c r="E287" s="115" t="s">
        <v>4780</v>
      </c>
      <c r="G287" s="115" t="s">
        <v>4781</v>
      </c>
      <c r="H287" s="115" t="s">
        <v>4782</v>
      </c>
      <c r="I287" s="115" t="s">
        <v>168</v>
      </c>
      <c r="J287" s="115" t="s">
        <v>51</v>
      </c>
      <c r="L287" s="115" t="s">
        <v>4783</v>
      </c>
      <c r="N287" s="121" t="s">
        <v>4784</v>
      </c>
      <c r="O287" s="1033">
        <v>2091</v>
      </c>
      <c r="Q287" s="115" t="s">
        <v>2674</v>
      </c>
      <c r="R287" s="1486">
        <v>1</v>
      </c>
      <c r="S287" s="361">
        <v>2</v>
      </c>
      <c r="T287" s="361">
        <v>1</v>
      </c>
      <c r="U287" s="2087" t="s">
        <v>4786</v>
      </c>
      <c r="V287" s="116">
        <v>45947</v>
      </c>
      <c r="W287" s="115" t="s">
        <v>1477</v>
      </c>
      <c r="X287" s="115" t="s">
        <v>1154</v>
      </c>
      <c r="Y287" s="1486"/>
      <c r="Z287" s="1486"/>
    </row>
    <row r="288" spans="1:26" s="115" customFormat="1" ht="12" customHeight="1">
      <c r="A288" s="115" t="s">
        <v>3016</v>
      </c>
      <c r="B288" s="115" t="s">
        <v>682</v>
      </c>
      <c r="C288" s="2048">
        <v>46277</v>
      </c>
      <c r="D288" s="116">
        <v>46291</v>
      </c>
      <c r="E288" s="115" t="s">
        <v>3017</v>
      </c>
      <c r="G288" s="361" t="s">
        <v>3018</v>
      </c>
      <c r="H288" s="115" t="s">
        <v>3019</v>
      </c>
      <c r="I288" s="115" t="s">
        <v>18</v>
      </c>
      <c r="J288" s="115" t="s">
        <v>51</v>
      </c>
      <c r="K288" s="124" t="s">
        <v>3021</v>
      </c>
      <c r="L288" s="115" t="s">
        <v>3020</v>
      </c>
      <c r="N288" s="121" t="s">
        <v>3022</v>
      </c>
      <c r="O288" s="1027">
        <f>2090+1690+3*4*14</f>
        <v>3948</v>
      </c>
      <c r="Q288" s="115" t="s">
        <v>4737</v>
      </c>
      <c r="R288" s="682">
        <v>2</v>
      </c>
      <c r="S288" s="361">
        <v>6</v>
      </c>
      <c r="T288" s="361">
        <v>4</v>
      </c>
      <c r="U288" s="1880" t="s">
        <v>4621</v>
      </c>
      <c r="V288" s="116">
        <v>45849</v>
      </c>
      <c r="W288" s="115" t="s">
        <v>4736</v>
      </c>
      <c r="X288" s="115" t="s">
        <v>1154</v>
      </c>
    </row>
    <row r="289" spans="1:26" s="115" customFormat="1" ht="12" customHeight="1">
      <c r="A289" s="115" t="s">
        <v>5129</v>
      </c>
      <c r="B289" s="115" t="s">
        <v>5149</v>
      </c>
      <c r="C289" s="2048">
        <v>46291</v>
      </c>
      <c r="D289" s="116">
        <v>46298</v>
      </c>
      <c r="E289" s="115" t="s">
        <v>5130</v>
      </c>
      <c r="G289" s="361"/>
      <c r="I289" s="115" t="s">
        <v>168</v>
      </c>
      <c r="J289" s="115" t="s">
        <v>51</v>
      </c>
      <c r="K289" s="124"/>
      <c r="L289" s="115" t="s">
        <v>5131</v>
      </c>
      <c r="N289" s="121" t="s">
        <v>5132</v>
      </c>
      <c r="O289" s="1027">
        <f>1690</f>
        <v>1690</v>
      </c>
      <c r="Q289" s="115" t="s">
        <v>1192</v>
      </c>
      <c r="R289" s="682">
        <v>1</v>
      </c>
      <c r="S289" s="361">
        <v>2</v>
      </c>
      <c r="T289" s="361">
        <v>2</v>
      </c>
      <c r="U289" s="1880" t="s">
        <v>5150</v>
      </c>
      <c r="V289" s="116">
        <v>46212</v>
      </c>
      <c r="W289" s="115" t="s">
        <v>1477</v>
      </c>
      <c r="X289" s="115" t="s">
        <v>1154</v>
      </c>
    </row>
    <row r="290" spans="1:26" s="115" customFormat="1" ht="12" customHeight="1">
      <c r="A290" s="115" t="s">
        <v>5109</v>
      </c>
      <c r="B290" s="115" t="s">
        <v>2849</v>
      </c>
      <c r="C290" s="2048">
        <v>46298</v>
      </c>
      <c r="D290" s="116">
        <v>46305</v>
      </c>
      <c r="E290" s="115" t="s">
        <v>5110</v>
      </c>
      <c r="G290" s="361" t="s">
        <v>5111</v>
      </c>
      <c r="H290" s="115" t="s">
        <v>3343</v>
      </c>
      <c r="I290" s="115" t="s">
        <v>168</v>
      </c>
      <c r="J290" s="115" t="s">
        <v>1023</v>
      </c>
      <c r="K290" s="124"/>
      <c r="L290" s="115" t="s">
        <v>5112</v>
      </c>
      <c r="N290" s="121" t="s">
        <v>5113</v>
      </c>
      <c r="O290" s="1027">
        <f>1390</f>
        <v>1390</v>
      </c>
      <c r="Q290" s="115" t="s">
        <v>5114</v>
      </c>
      <c r="R290" s="682">
        <v>1</v>
      </c>
      <c r="S290" s="361">
        <v>2</v>
      </c>
      <c r="T290" s="361">
        <v>1</v>
      </c>
      <c r="U290" s="1880" t="s">
        <v>5133</v>
      </c>
      <c r="V290" s="116">
        <v>46209</v>
      </c>
      <c r="W290" s="115" t="s">
        <v>5115</v>
      </c>
      <c r="X290" s="115" t="s">
        <v>1154</v>
      </c>
    </row>
    <row r="291" spans="1:26" s="115" customFormat="1" ht="12" customHeight="1">
      <c r="A291" s="115" t="s">
        <v>4485</v>
      </c>
      <c r="B291" s="115" t="s">
        <v>4484</v>
      </c>
      <c r="C291" s="116">
        <v>46305</v>
      </c>
      <c r="D291" s="116">
        <v>46319</v>
      </c>
      <c r="E291" s="935" t="s">
        <v>4486</v>
      </c>
      <c r="G291" s="361" t="s">
        <v>4487</v>
      </c>
      <c r="H291" s="115" t="s">
        <v>4488</v>
      </c>
      <c r="I291" s="115" t="s">
        <v>18</v>
      </c>
      <c r="J291" s="115" t="s">
        <v>51</v>
      </c>
      <c r="L291" s="935" t="s">
        <v>4489</v>
      </c>
      <c r="N291" s="121" t="s">
        <v>4490</v>
      </c>
      <c r="O291" s="1027">
        <f>1390+1190</f>
        <v>2580</v>
      </c>
      <c r="Q291" s="115" t="s">
        <v>4727</v>
      </c>
      <c r="R291" s="682">
        <v>2</v>
      </c>
      <c r="S291" s="361">
        <v>3</v>
      </c>
      <c r="T291" s="361">
        <v>1</v>
      </c>
      <c r="U291" s="2088" t="s">
        <v>4810</v>
      </c>
      <c r="V291" s="116"/>
      <c r="W291" s="115" t="s">
        <v>4788</v>
      </c>
      <c r="X291" s="115" t="s">
        <v>1154</v>
      </c>
      <c r="Z291" s="921"/>
    </row>
    <row r="292" spans="1:26" s="115" customFormat="1" ht="12" customHeight="1">
      <c r="A292" s="115" t="s">
        <v>1653</v>
      </c>
      <c r="B292" s="115" t="s">
        <v>4655</v>
      </c>
      <c r="C292" s="116">
        <v>46319</v>
      </c>
      <c r="D292" s="116">
        <v>46333</v>
      </c>
      <c r="E292" s="115" t="s">
        <v>1654</v>
      </c>
      <c r="G292" s="361" t="s">
        <v>1655</v>
      </c>
      <c r="H292" s="115" t="s">
        <v>937</v>
      </c>
      <c r="I292" s="115" t="s">
        <v>18</v>
      </c>
      <c r="J292" s="115" t="s">
        <v>51</v>
      </c>
      <c r="K292" s="115" t="s">
        <v>1656</v>
      </c>
      <c r="L292" s="115" t="s">
        <v>3040</v>
      </c>
      <c r="N292" s="121" t="s">
        <v>1652</v>
      </c>
      <c r="O292" s="2058">
        <f>1090+1190+70+2*3*14</f>
        <v>2434</v>
      </c>
      <c r="Q292" s="115" t="s">
        <v>3094</v>
      </c>
      <c r="R292" s="1486">
        <v>2</v>
      </c>
      <c r="S292" s="361">
        <v>2</v>
      </c>
      <c r="T292" s="361">
        <v>2</v>
      </c>
      <c r="U292" s="119" t="s">
        <v>4656</v>
      </c>
      <c r="V292" s="2187">
        <v>45882</v>
      </c>
      <c r="W292" s="115" t="s">
        <v>4653</v>
      </c>
      <c r="X292" s="115" t="s">
        <v>1154</v>
      </c>
      <c r="Y292" s="1486"/>
      <c r="Z292" s="1486"/>
    </row>
    <row r="293" spans="1:26">
      <c r="O293" s="2023"/>
      <c r="S293" s="132"/>
      <c r="T293" s="132"/>
    </row>
    <row r="294" spans="1:26">
      <c r="O294" s="2023"/>
      <c r="S294" s="132"/>
      <c r="T294" s="132"/>
    </row>
    <row r="295" spans="1:26" s="115" customFormat="1" ht="13.2">
      <c r="A295" s="115" t="s">
        <v>4909</v>
      </c>
      <c r="B295" s="115" t="s">
        <v>4396</v>
      </c>
      <c r="C295" s="120">
        <v>46375</v>
      </c>
      <c r="D295" s="120">
        <v>46389</v>
      </c>
      <c r="E295" s="115" t="s">
        <v>4910</v>
      </c>
      <c r="G295" s="115" t="s">
        <v>4911</v>
      </c>
      <c r="H295" s="115" t="s">
        <v>4912</v>
      </c>
      <c r="I295" s="115" t="s">
        <v>18</v>
      </c>
      <c r="J295" s="115" t="s">
        <v>51</v>
      </c>
      <c r="L295" s="115" t="s">
        <v>4913</v>
      </c>
      <c r="N295" s="121" t="s">
        <v>4914</v>
      </c>
      <c r="O295" s="2123">
        <v>2300</v>
      </c>
      <c r="Q295" s="115" t="s">
        <v>717</v>
      </c>
      <c r="R295" s="1486">
        <v>2</v>
      </c>
      <c r="S295" s="361">
        <v>2</v>
      </c>
      <c r="T295" s="961" t="s">
        <v>4915</v>
      </c>
      <c r="U295" s="921" t="s">
        <v>4916</v>
      </c>
      <c r="V295" s="116">
        <v>46065</v>
      </c>
      <c r="W295" s="115" t="s">
        <v>1833</v>
      </c>
      <c r="X295" s="115" t="s">
        <v>4003</v>
      </c>
      <c r="Y295" s="1486"/>
      <c r="Z295" s="1486"/>
    </row>
    <row r="296" spans="1:26">
      <c r="O296" s="2023"/>
      <c r="S296" s="132"/>
      <c r="T296" s="132"/>
      <c r="U296" s="439"/>
    </row>
    <row r="297" spans="1:26" ht="10.8" thickBot="1">
      <c r="O297" s="2023"/>
      <c r="S297" s="132"/>
      <c r="T297" s="132"/>
      <c r="U297" s="439"/>
    </row>
    <row r="298" spans="1:26" ht="10.8" thickBot="1">
      <c r="A298" s="18" t="s">
        <v>4390</v>
      </c>
      <c r="B298" s="767">
        <f>SUM(O269:O297)</f>
        <v>62418</v>
      </c>
      <c r="C298" s="1964">
        <f>B298/B252</f>
        <v>1.0485838121157141</v>
      </c>
      <c r="D298" s="791" t="s">
        <v>4510</v>
      </c>
      <c r="E298" s="1577">
        <f>SUM(E299:E310)</f>
        <v>11294.06</v>
      </c>
      <c r="O298" s="2023"/>
      <c r="P298" s="132"/>
      <c r="Q298" s="132"/>
      <c r="R298" s="132"/>
      <c r="S298" s="132"/>
      <c r="T298" s="132"/>
      <c r="U298" s="439"/>
    </row>
    <row r="299" spans="1:26" ht="10.8" thickBot="1">
      <c r="A299" s="768" t="s">
        <v>463</v>
      </c>
      <c r="B299" s="1929">
        <f>SUM(R268:R297)</f>
        <v>32</v>
      </c>
      <c r="C299" s="1965">
        <f>B298/B299</f>
        <v>1950.5625</v>
      </c>
      <c r="D299" s="1802" t="s">
        <v>3247</v>
      </c>
      <c r="E299" s="1578">
        <v>132.46</v>
      </c>
      <c r="O299" s="2023"/>
      <c r="P299" s="132"/>
      <c r="Q299" s="132"/>
      <c r="R299" s="132"/>
      <c r="S299" s="132"/>
      <c r="T299" s="132"/>
      <c r="U299" s="439"/>
    </row>
    <row r="300" spans="1:26" ht="10.8" thickBot="1">
      <c r="A300" s="7"/>
      <c r="B300" s="7"/>
      <c r="C300" s="29"/>
      <c r="D300" s="1802" t="s">
        <v>3779</v>
      </c>
      <c r="E300" s="1578">
        <v>1387.02</v>
      </c>
      <c r="O300" s="2023"/>
      <c r="P300" s="132"/>
      <c r="Q300" s="132"/>
      <c r="R300" s="132"/>
      <c r="S300" s="132"/>
      <c r="T300" s="132"/>
      <c r="U300" s="439"/>
    </row>
    <row r="301" spans="1:26" ht="10.8" thickBot="1">
      <c r="A301" s="18" t="s">
        <v>464</v>
      </c>
      <c r="B301" s="1799">
        <f>(1788.54+225.66)*12</f>
        <v>24170.400000000001</v>
      </c>
      <c r="C301" s="29"/>
      <c r="D301" s="1802" t="s">
        <v>2977</v>
      </c>
      <c r="E301" s="1578">
        <f>10*100+10*120</f>
        <v>2200</v>
      </c>
      <c r="O301" s="2023"/>
      <c r="P301" s="132"/>
      <c r="Q301" s="132"/>
      <c r="R301" s="132"/>
      <c r="S301" s="132"/>
      <c r="T301" s="132"/>
      <c r="U301" s="439"/>
    </row>
    <row r="302" spans="1:26" ht="10.8" thickBot="1">
      <c r="A302" s="1800" t="s">
        <v>574</v>
      </c>
      <c r="B302" s="1801">
        <f>E298</f>
        <v>11294.06</v>
      </c>
      <c r="C302" s="29"/>
      <c r="D302" s="1802" t="s">
        <v>4310</v>
      </c>
      <c r="E302" s="1578">
        <v>732</v>
      </c>
      <c r="G302" s="132">
        <v>73</v>
      </c>
      <c r="O302" s="2023"/>
      <c r="P302" s="132"/>
      <c r="Q302" s="132"/>
      <c r="R302" s="132"/>
      <c r="S302" s="132"/>
      <c r="T302" s="132"/>
      <c r="U302" s="439"/>
    </row>
    <row r="303" spans="1:26">
      <c r="A303" s="510" t="s">
        <v>1534</v>
      </c>
      <c r="B303" s="2021">
        <f>B298-B301-B302</f>
        <v>26953.54</v>
      </c>
      <c r="C303" s="29"/>
      <c r="D303" s="1802" t="s">
        <v>4308</v>
      </c>
      <c r="E303" s="1578">
        <v>883</v>
      </c>
      <c r="G303" s="132">
        <v>88</v>
      </c>
      <c r="O303" s="132"/>
      <c r="P303" s="132"/>
      <c r="Q303" s="132"/>
      <c r="R303" s="132"/>
      <c r="S303" s="132"/>
      <c r="T303" s="132"/>
      <c r="U303" s="439"/>
    </row>
    <row r="304" spans="1:26" ht="10.8" thickBot="1">
      <c r="A304" s="768" t="s">
        <v>466</v>
      </c>
      <c r="B304" s="2022">
        <f>B303/12</f>
        <v>2246.1283333333336</v>
      </c>
      <c r="D304" s="1267" t="s">
        <v>2525</v>
      </c>
      <c r="E304" s="1578">
        <v>260</v>
      </c>
      <c r="G304" s="132"/>
      <c r="O304" s="132"/>
      <c r="P304" s="132"/>
      <c r="Q304" s="132"/>
      <c r="R304" s="132"/>
      <c r="S304" s="132"/>
      <c r="T304" s="132"/>
      <c r="U304" s="439"/>
    </row>
    <row r="305" spans="1:26">
      <c r="D305" s="1267" t="s">
        <v>3776</v>
      </c>
      <c r="E305" s="1578">
        <v>467.64</v>
      </c>
      <c r="P305" s="132"/>
      <c r="Q305" s="132"/>
      <c r="R305" s="132"/>
      <c r="S305" s="132"/>
      <c r="T305" s="132"/>
      <c r="U305" s="439"/>
    </row>
    <row r="306" spans="1:26">
      <c r="D306" s="1267" t="s">
        <v>4411</v>
      </c>
      <c r="E306" s="1578">
        <v>315.04000000000002</v>
      </c>
      <c r="S306" s="132"/>
      <c r="T306" s="132"/>
      <c r="U306" s="439"/>
    </row>
    <row r="307" spans="1:26">
      <c r="D307" s="1267" t="s">
        <v>3777</v>
      </c>
      <c r="E307" s="1578">
        <f>833.8/2</f>
        <v>416.9</v>
      </c>
      <c r="U307" s="439"/>
    </row>
    <row r="308" spans="1:26">
      <c r="D308" s="1267"/>
      <c r="E308" s="1578"/>
      <c r="U308" s="439"/>
    </row>
    <row r="309" spans="1:26">
      <c r="D309" s="1267" t="s">
        <v>4412</v>
      </c>
      <c r="E309" s="1578">
        <f>1000</f>
        <v>1000</v>
      </c>
      <c r="U309" s="439"/>
    </row>
    <row r="310" spans="1:26" ht="10.8" thickBot="1">
      <c r="D310" s="1323" t="s">
        <v>3778</v>
      </c>
      <c r="E310" s="1803">
        <f>7000/2</f>
        <v>3500</v>
      </c>
      <c r="U310" s="439"/>
    </row>
    <row r="311" spans="1:26" ht="2.4" customHeight="1">
      <c r="U311" s="439"/>
    </row>
    <row r="312" spans="1:26">
      <c r="U312" s="439"/>
    </row>
    <row r="313" spans="1:26">
      <c r="U313" s="439"/>
    </row>
    <row r="314" spans="1:26">
      <c r="U314" s="439"/>
    </row>
    <row r="315" spans="1:26">
      <c r="U315" s="439"/>
    </row>
    <row r="316" spans="1:26">
      <c r="A316" s="870" t="s">
        <v>5055</v>
      </c>
      <c r="O316" s="2023"/>
    </row>
    <row r="317" spans="1:26">
      <c r="A317" s="870"/>
      <c r="C317" s="86"/>
      <c r="D317" s="86"/>
      <c r="O317" s="2023"/>
    </row>
    <row r="318" spans="1:26">
      <c r="A318" s="870"/>
      <c r="C318" s="86"/>
      <c r="D318" s="86"/>
      <c r="O318" s="2023"/>
    </row>
    <row r="319" spans="1:26" s="115" customFormat="1">
      <c r="A319" s="115" t="s">
        <v>5116</v>
      </c>
      <c r="B319" s="115" t="s">
        <v>5117</v>
      </c>
      <c r="C319" s="120">
        <v>46466</v>
      </c>
      <c r="D319" s="120">
        <v>46476</v>
      </c>
      <c r="E319" s="115" t="s">
        <v>5118</v>
      </c>
      <c r="G319" s="115" t="s">
        <v>5119</v>
      </c>
      <c r="H319" s="115" t="s">
        <v>5120</v>
      </c>
      <c r="I319" s="115" t="s">
        <v>18</v>
      </c>
      <c r="J319" s="115" t="s">
        <v>1023</v>
      </c>
      <c r="L319" s="115" t="s">
        <v>5121</v>
      </c>
      <c r="N319" s="115" t="s">
        <v>5122</v>
      </c>
      <c r="O319" s="2123">
        <v>1900</v>
      </c>
      <c r="Q319" s="115" t="s">
        <v>5123</v>
      </c>
      <c r="R319" s="1486">
        <v>1.5</v>
      </c>
      <c r="S319" s="361">
        <v>4</v>
      </c>
      <c r="T319" s="361">
        <v>2</v>
      </c>
      <c r="U319" s="1486" t="s">
        <v>5142</v>
      </c>
      <c r="V319" s="116">
        <v>46210</v>
      </c>
      <c r="W319" s="115" t="s">
        <v>1477</v>
      </c>
      <c r="X319" s="115" t="s">
        <v>1217</v>
      </c>
      <c r="Y319" s="1486" t="s">
        <v>5124</v>
      </c>
      <c r="Z319" s="1486"/>
    </row>
    <row r="320" spans="1:26">
      <c r="A320" s="870"/>
      <c r="C320" s="86"/>
      <c r="D320" s="86"/>
      <c r="O320" s="2023"/>
    </row>
    <row r="321" spans="1:26" s="115" customFormat="1" ht="13.2">
      <c r="A321" s="115" t="s">
        <v>537</v>
      </c>
      <c r="B321" s="115" t="s">
        <v>857</v>
      </c>
      <c r="C321" s="120">
        <v>46487</v>
      </c>
      <c r="D321" s="120">
        <v>46494</v>
      </c>
      <c r="E321" s="115" t="s">
        <v>5058</v>
      </c>
      <c r="G321" s="115" t="s">
        <v>5059</v>
      </c>
      <c r="H321" s="115" t="s">
        <v>5060</v>
      </c>
      <c r="I321" s="115" t="s">
        <v>168</v>
      </c>
      <c r="J321" s="115" t="s">
        <v>51</v>
      </c>
      <c r="L321" s="115" t="s">
        <v>5061</v>
      </c>
      <c r="N321" s="121" t="s">
        <v>5062</v>
      </c>
      <c r="O321" s="2123">
        <f>1390+70+42</f>
        <v>1502</v>
      </c>
      <c r="Q321" s="115" t="s">
        <v>5064</v>
      </c>
      <c r="R321" s="1486">
        <v>1</v>
      </c>
      <c r="S321" s="361">
        <v>2</v>
      </c>
      <c r="T321" s="361">
        <v>2</v>
      </c>
      <c r="U321" s="1486" t="s">
        <v>5063</v>
      </c>
      <c r="V321" s="116">
        <v>46161</v>
      </c>
      <c r="W321" s="115" t="s">
        <v>1477</v>
      </c>
      <c r="X321" s="115" t="s">
        <v>1154</v>
      </c>
      <c r="Y321" s="1486"/>
      <c r="Z321" s="1486"/>
    </row>
    <row r="322" spans="1:26" ht="13.2">
      <c r="C322" s="86"/>
      <c r="D322" s="86"/>
      <c r="N322" s="683"/>
      <c r="O322" s="2023"/>
      <c r="S322" s="132"/>
      <c r="T322" s="132"/>
      <c r="U322" s="439"/>
    </row>
    <row r="323" spans="1:26" ht="13.2">
      <c r="C323" s="86"/>
      <c r="D323" s="86"/>
      <c r="N323" s="683"/>
      <c r="O323" s="2023"/>
      <c r="S323" s="132"/>
      <c r="T323" s="132"/>
      <c r="U323" s="439"/>
    </row>
    <row r="324" spans="1:26" s="440" customFormat="1" ht="13.2">
      <c r="A324" s="440" t="s">
        <v>5100</v>
      </c>
      <c r="B324" s="440" t="s">
        <v>5099</v>
      </c>
      <c r="C324" s="445">
        <v>46655</v>
      </c>
      <c r="D324" s="445">
        <v>46669</v>
      </c>
      <c r="E324" s="440" t="s">
        <v>5101</v>
      </c>
      <c r="G324" s="440">
        <v>4632</v>
      </c>
      <c r="H324" s="440" t="s">
        <v>5102</v>
      </c>
      <c r="I324" s="440" t="s">
        <v>1775</v>
      </c>
      <c r="J324" s="440" t="s">
        <v>51</v>
      </c>
      <c r="L324" s="440" t="s">
        <v>5103</v>
      </c>
      <c r="N324" s="443" t="s">
        <v>5125</v>
      </c>
      <c r="O324" s="2184">
        <f>1690+1390+70</f>
        <v>3150</v>
      </c>
      <c r="Q324" s="440" t="s">
        <v>1192</v>
      </c>
      <c r="R324" s="1507">
        <v>2</v>
      </c>
      <c r="S324" s="442">
        <v>2</v>
      </c>
      <c r="T324" s="442">
        <v>2</v>
      </c>
      <c r="U324" s="1507"/>
      <c r="V324" s="441">
        <v>46202</v>
      </c>
      <c r="W324" s="440" t="s">
        <v>1525</v>
      </c>
      <c r="X324" s="440" t="s">
        <v>1154</v>
      </c>
      <c r="Y324" s="1507" t="s">
        <v>5105</v>
      </c>
      <c r="Z324" s="1507"/>
    </row>
    <row r="325" spans="1:26" s="115" customFormat="1" ht="13.2">
      <c r="A325" s="115" t="s">
        <v>5154</v>
      </c>
      <c r="B325" s="115" t="s">
        <v>5155</v>
      </c>
      <c r="C325" s="120">
        <v>46669</v>
      </c>
      <c r="D325" s="120">
        <v>46683</v>
      </c>
      <c r="E325" s="115" t="s">
        <v>5156</v>
      </c>
      <c r="G325" s="115" t="s">
        <v>5157</v>
      </c>
      <c r="H325" s="115" t="s">
        <v>5158</v>
      </c>
      <c r="I325" s="115" t="s">
        <v>168</v>
      </c>
      <c r="J325" s="115" t="s">
        <v>51</v>
      </c>
      <c r="L325" s="115" t="s">
        <v>5159</v>
      </c>
      <c r="N325" s="121" t="s">
        <v>5160</v>
      </c>
      <c r="O325" s="2123">
        <f>1190+1390+70+3*2*14</f>
        <v>2734</v>
      </c>
      <c r="Q325" s="115" t="s">
        <v>1192</v>
      </c>
      <c r="R325" s="1486">
        <v>2</v>
      </c>
      <c r="S325" s="361">
        <v>2</v>
      </c>
      <c r="T325" s="361">
        <v>2</v>
      </c>
      <c r="U325" s="1486" t="s">
        <v>5161</v>
      </c>
      <c r="V325" s="116">
        <v>46220</v>
      </c>
      <c r="W325" s="115" t="s">
        <v>1477</v>
      </c>
      <c r="X325" s="115" t="s">
        <v>1154</v>
      </c>
      <c r="Y325" s="1486" t="s">
        <v>5105</v>
      </c>
      <c r="Z325" s="1486"/>
    </row>
    <row r="326" spans="1:26">
      <c r="C326" s="86"/>
      <c r="D326" s="86"/>
      <c r="O326" s="2023"/>
      <c r="S326" s="132"/>
      <c r="T326" s="132"/>
      <c r="U326" s="439"/>
    </row>
    <row r="327" spans="1:26" ht="10.8" thickBot="1">
      <c r="C327" s="86"/>
      <c r="D327" s="86"/>
      <c r="O327" s="2023"/>
      <c r="S327" s="132"/>
      <c r="T327" s="132"/>
      <c r="U327" s="439"/>
    </row>
    <row r="328" spans="1:26" ht="10.8" thickBot="1">
      <c r="A328" s="18" t="s">
        <v>4722</v>
      </c>
      <c r="B328" s="767">
        <f>SUM(O317:O327)</f>
        <v>9286</v>
      </c>
      <c r="C328" s="1964">
        <f>B328/B298</f>
        <v>0.14877118779839149</v>
      </c>
      <c r="D328" s="791" t="s">
        <v>5016</v>
      </c>
      <c r="E328" s="1577">
        <f>SUM(E329:E340)</f>
        <v>0</v>
      </c>
      <c r="O328" s="2023"/>
      <c r="P328" s="132"/>
      <c r="Q328" s="132"/>
      <c r="R328" s="132"/>
      <c r="S328" s="132"/>
      <c r="T328" s="132"/>
      <c r="U328" s="439"/>
    </row>
    <row r="329" spans="1:26" ht="10.8" thickBot="1">
      <c r="A329" s="768" t="s">
        <v>463</v>
      </c>
      <c r="B329" s="2188">
        <f>SUM(R317:R327)</f>
        <v>6.5</v>
      </c>
      <c r="C329" s="1965">
        <f>B328/B329</f>
        <v>1428.6153846153845</v>
      </c>
      <c r="D329" s="1802" t="s">
        <v>3247</v>
      </c>
      <c r="E329" s="1578"/>
      <c r="O329" s="2023"/>
      <c r="P329" s="132"/>
      <c r="Q329" s="132"/>
      <c r="R329" s="132"/>
      <c r="S329" s="132"/>
      <c r="T329" s="132"/>
      <c r="U329" s="439"/>
    </row>
    <row r="330" spans="1:26" ht="10.8" thickBot="1">
      <c r="A330" s="7"/>
      <c r="B330" s="7"/>
      <c r="C330" s="29"/>
      <c r="D330" s="1802" t="s">
        <v>3779</v>
      </c>
      <c r="E330" s="1578"/>
      <c r="O330" s="2023"/>
      <c r="P330" s="132"/>
      <c r="Q330" s="132"/>
      <c r="R330" s="132"/>
      <c r="S330" s="132"/>
      <c r="T330" s="132"/>
      <c r="U330" s="439"/>
    </row>
    <row r="331" spans="1:26" ht="10.8" thickBot="1">
      <c r="A331" s="18" t="s">
        <v>464</v>
      </c>
      <c r="B331" s="1799">
        <f>(1788.54+225.66)*12</f>
        <v>24170.400000000001</v>
      </c>
      <c r="C331" s="29"/>
      <c r="D331" s="1802" t="s">
        <v>2977</v>
      </c>
      <c r="E331" s="1578"/>
      <c r="O331" s="2023"/>
      <c r="P331" s="132"/>
      <c r="Q331" s="132"/>
      <c r="R331" s="132"/>
      <c r="S331" s="132"/>
      <c r="T331" s="132"/>
      <c r="U331" s="439"/>
    </row>
    <row r="332" spans="1:26" ht="10.8" thickBot="1">
      <c r="A332" s="1800" t="s">
        <v>574</v>
      </c>
      <c r="B332" s="1801">
        <f>E328</f>
        <v>0</v>
      </c>
      <c r="C332" s="29"/>
      <c r="D332" s="1802" t="s">
        <v>4310</v>
      </c>
      <c r="E332" s="1578"/>
      <c r="G332" s="132">
        <v>73</v>
      </c>
      <c r="O332" s="2023"/>
      <c r="P332" s="132"/>
      <c r="Q332" s="132"/>
      <c r="R332" s="132"/>
      <c r="S332" s="132"/>
      <c r="T332" s="132"/>
      <c r="U332" s="439"/>
    </row>
    <row r="333" spans="1:26">
      <c r="A333" s="510" t="s">
        <v>1534</v>
      </c>
      <c r="B333" s="2021">
        <f>B328-B331-B332</f>
        <v>-14884.400000000001</v>
      </c>
      <c r="C333" s="29"/>
      <c r="D333" s="1802" t="s">
        <v>4308</v>
      </c>
      <c r="E333" s="1578"/>
      <c r="G333" s="132">
        <v>88</v>
      </c>
      <c r="O333" s="132"/>
      <c r="P333" s="132"/>
      <c r="Q333" s="132"/>
      <c r="R333" s="132"/>
      <c r="S333" s="132"/>
      <c r="T333" s="132"/>
      <c r="U333" s="439"/>
    </row>
    <row r="334" spans="1:26" ht="10.8" thickBot="1">
      <c r="A334" s="768" t="s">
        <v>466</v>
      </c>
      <c r="B334" s="2022">
        <f>B333/12</f>
        <v>-1240.3666666666668</v>
      </c>
      <c r="D334" s="1267" t="s">
        <v>2525</v>
      </c>
      <c r="E334" s="1578"/>
      <c r="G334" s="132"/>
      <c r="O334" s="132"/>
      <c r="P334" s="132"/>
      <c r="Q334" s="132"/>
      <c r="R334" s="132"/>
      <c r="S334" s="132"/>
      <c r="T334" s="132"/>
      <c r="U334" s="439"/>
    </row>
    <row r="335" spans="1:26">
      <c r="D335" s="1267" t="s">
        <v>3776</v>
      </c>
      <c r="E335" s="1578"/>
      <c r="P335" s="132"/>
      <c r="Q335" s="132"/>
      <c r="R335" s="132"/>
      <c r="S335" s="132"/>
      <c r="T335" s="132"/>
      <c r="U335" s="439"/>
    </row>
    <row r="336" spans="1:26">
      <c r="D336" s="1267" t="s">
        <v>4411</v>
      </c>
      <c r="E336" s="1578"/>
      <c r="S336" s="132"/>
      <c r="T336" s="132"/>
      <c r="U336" s="439"/>
    </row>
    <row r="337" spans="4:21">
      <c r="D337" s="1267" t="s">
        <v>3777</v>
      </c>
      <c r="E337" s="1578"/>
      <c r="U337" s="439"/>
    </row>
    <row r="338" spans="4:21">
      <c r="D338" s="1267"/>
      <c r="E338" s="1578"/>
      <c r="U338" s="439"/>
    </row>
    <row r="339" spans="4:21">
      <c r="D339" s="1267" t="s">
        <v>4412</v>
      </c>
      <c r="E339" s="1578"/>
      <c r="U339" s="439"/>
    </row>
    <row r="340" spans="4:21" ht="10.8" thickBot="1">
      <c r="D340" s="1323" t="s">
        <v>3778</v>
      </c>
      <c r="E340" s="1803"/>
      <c r="U340" s="439"/>
    </row>
    <row r="341" spans="4:21" ht="2.4" customHeight="1">
      <c r="U341" s="439"/>
    </row>
    <row r="342" spans="4:21">
      <c r="U342" s="439"/>
    </row>
  </sheetData>
  <conditionalFormatting sqref="B21">
    <cfRule type="cellIs" dxfId="170" priority="17" stopIfTrue="1" operator="greaterThanOrEqual">
      <formula>0</formula>
    </cfRule>
    <cfRule type="cellIs" dxfId="169" priority="18" stopIfTrue="1" operator="lessThan">
      <formula>0</formula>
    </cfRule>
  </conditionalFormatting>
  <conditionalFormatting sqref="B55">
    <cfRule type="cellIs" dxfId="168" priority="15" stopIfTrue="1" operator="greaterThanOrEqual">
      <formula>0</formula>
    </cfRule>
    <cfRule type="cellIs" dxfId="167" priority="16" stopIfTrue="1" operator="lessThan">
      <formula>0</formula>
    </cfRule>
  </conditionalFormatting>
  <conditionalFormatting sqref="B95">
    <cfRule type="cellIs" dxfId="166" priority="13" stopIfTrue="1" operator="greaterThanOrEqual">
      <formula>0</formula>
    </cfRule>
    <cfRule type="cellIs" dxfId="165" priority="14" stopIfTrue="1" operator="lessThan">
      <formula>0</formula>
    </cfRule>
  </conditionalFormatting>
  <conditionalFormatting sqref="B130">
    <cfRule type="cellIs" dxfId="164" priority="11" stopIfTrue="1" operator="greaterThanOrEqual">
      <formula>0</formula>
    </cfRule>
    <cfRule type="cellIs" dxfId="163" priority="12" stopIfTrue="1" operator="lessThan">
      <formula>0</formula>
    </cfRule>
  </conditionalFormatting>
  <conditionalFormatting sqref="B163">
    <cfRule type="cellIs" dxfId="162" priority="9" stopIfTrue="1" operator="greaterThanOrEqual">
      <formula>0</formula>
    </cfRule>
    <cfRule type="cellIs" dxfId="161" priority="10" stopIfTrue="1" operator="lessThan">
      <formula>0</formula>
    </cfRule>
  </conditionalFormatting>
  <conditionalFormatting sqref="B211">
    <cfRule type="cellIs" dxfId="160" priority="7" stopIfTrue="1" operator="greaterThanOrEqual">
      <formula>0</formula>
    </cfRule>
    <cfRule type="cellIs" dxfId="159" priority="8" stopIfTrue="1" operator="lessThan">
      <formula>0</formula>
    </cfRule>
  </conditionalFormatting>
  <conditionalFormatting sqref="B256">
    <cfRule type="cellIs" dxfId="158" priority="5" stopIfTrue="1" operator="greaterThanOrEqual">
      <formula>0</formula>
    </cfRule>
    <cfRule type="cellIs" dxfId="157" priority="6" stopIfTrue="1" operator="lessThan">
      <formula>0</formula>
    </cfRule>
  </conditionalFormatting>
  <conditionalFormatting sqref="B302">
    <cfRule type="cellIs" dxfId="156" priority="3" stopIfTrue="1" operator="greaterThanOrEqual">
      <formula>0</formula>
    </cfRule>
    <cfRule type="cellIs" dxfId="155" priority="4" stopIfTrue="1" operator="lessThan">
      <formula>0</formula>
    </cfRule>
  </conditionalFormatting>
  <conditionalFormatting sqref="B332">
    <cfRule type="cellIs" dxfId="154" priority="1" stopIfTrue="1" operator="greaterThanOrEqual">
      <formula>0</formula>
    </cfRule>
    <cfRule type="cellIs" dxfId="153" priority="2" stopIfTrue="1" operator="lessThan">
      <formula>0</formula>
    </cfRule>
  </conditionalFormatting>
  <hyperlinks>
    <hyperlink ref="N4" r:id="rId1" xr:uid="{40B3D7C7-23E4-4570-87BA-25ED4A6BAA43}"/>
    <hyperlink ref="N5" r:id="rId2" xr:uid="{76F8C40C-314F-4D2B-A02C-8FCE75DECB00}"/>
    <hyperlink ref="N9" r:id="rId3" display="mailto:a.lukas@t-online.de" xr:uid="{6574B1C7-1C5C-4CE9-882A-C0A39999834F}"/>
    <hyperlink ref="N7" r:id="rId4" xr:uid="{999D2DC3-1061-4A12-B11E-DBFD9FC6057D}"/>
    <hyperlink ref="N8" r:id="rId5" xr:uid="{C325D4AB-EAF3-4B85-8199-69662E2127B5}"/>
    <hyperlink ref="N6" r:id="rId6" xr:uid="{9C6B414A-4CB8-431A-91BE-ECA8CF620BB3}"/>
    <hyperlink ref="N10" r:id="rId7" xr:uid="{F1950A84-9953-48DE-B0B1-17C3CD00B42F}"/>
    <hyperlink ref="N11" r:id="rId8" xr:uid="{46AEE4F3-5A24-45EC-8655-EB09DEFCAF15}"/>
    <hyperlink ref="N13" r:id="rId9" xr:uid="{E59C695E-5CF3-498C-900D-1ECD90A32388}"/>
    <hyperlink ref="N32" r:id="rId10" xr:uid="{063785B7-E3F8-4371-A371-F151F3362A4A}"/>
    <hyperlink ref="N12" r:id="rId11" xr:uid="{E4319BC4-19BB-4375-AF37-52F6EDD45E5F}"/>
    <hyperlink ref="N35" r:id="rId12" xr:uid="{57E93E85-2779-48CE-9932-EC54371FA134}"/>
    <hyperlink ref="N40" r:id="rId13" xr:uid="{25F1F2BD-C312-4773-9349-3EBBDF603C0E}"/>
    <hyperlink ref="N39" r:id="rId14" xr:uid="{1581228B-AAC9-4EDC-81D3-8E6929FB8101}"/>
    <hyperlink ref="N29" r:id="rId15" xr:uid="{E4585BE4-D7D4-4D94-837A-FF91C9EF0179}"/>
    <hyperlink ref="N37" r:id="rId16" xr:uid="{F038A275-51D4-4160-80C5-62DBCCD7A8EE}"/>
    <hyperlink ref="N41" r:id="rId17" xr:uid="{EEDFB7D3-87E2-4660-B677-FE0535D27908}"/>
    <hyperlink ref="N33" r:id="rId18" xr:uid="{97B9DD4E-25DD-4380-BF93-6C0523272687}"/>
    <hyperlink ref="N31" r:id="rId19" xr:uid="{E51DF19E-1887-486D-B340-98F3719345C0}"/>
    <hyperlink ref="N28" r:id="rId20" xr:uid="{DD70CFAA-49A1-4C46-9766-D58E9EDFAA0D}"/>
    <hyperlink ref="N38" r:id="rId21" xr:uid="{BA627888-68C3-47B4-AF7A-32F5D05591B5}"/>
    <hyperlink ref="N36" r:id="rId22" xr:uid="{582DBE3C-7890-413D-9FC9-3094B79387D5}"/>
    <hyperlink ref="N45" r:id="rId23" xr:uid="{F4B3770B-8966-411D-8B15-453F3E584A36}"/>
    <hyperlink ref="N46" r:id="rId24" xr:uid="{5A100C2D-F067-41C6-B884-C30E2BCC003C}"/>
    <hyperlink ref="N43" r:id="rId25" xr:uid="{CE60DBD0-D3FD-46B3-AC56-3D5F68CD03B2}"/>
    <hyperlink ref="N84" r:id="rId26" display="gaelle@touroul.com" xr:uid="{2B5D128C-8A34-4C19-904F-9A84C9A7CBB9}"/>
    <hyperlink ref="N83" r:id="rId27" xr:uid="{6E3D8F71-EBEF-4538-A10B-763AAA1EAC8F}"/>
    <hyperlink ref="N73" r:id="rId28" display="mailto:daenublaser@bluewin.ch" xr:uid="{EEE5CC0D-C71D-4273-8045-9CFB3877DC6C}"/>
    <hyperlink ref="N106" r:id="rId29" xr:uid="{538E9365-B40F-4082-9693-99F9DFFF3207}"/>
    <hyperlink ref="N67" r:id="rId30" xr:uid="{C8993C7E-C1CD-42AC-B93B-DC80C754C0C7}"/>
    <hyperlink ref="N72" r:id="rId31" xr:uid="{E714A5A9-03ED-4CA9-8640-D2BB50C41CCE}"/>
    <hyperlink ref="N48" r:id="rId32" xr:uid="{A0E9ED4D-D88C-4F2B-B89B-C03A0F0D1604}"/>
    <hyperlink ref="N75" r:id="rId33" xr:uid="{9EAC22EF-B95B-4B12-BA4A-75E51ED5C4D5}"/>
    <hyperlink ref="N80" r:id="rId34" xr:uid="{B13D2035-3FFA-4D10-B0AC-C6423CC14C57}"/>
    <hyperlink ref="N77" r:id="rId35" xr:uid="{4B20228B-5254-4EA2-B9EC-2C7BAB96C4F1}"/>
    <hyperlink ref="N63" r:id="rId36" xr:uid="{C75369D5-C644-4162-94DA-EA8EC019FEF9}"/>
    <hyperlink ref="N64" r:id="rId37" xr:uid="{DA3CB5ED-9310-4935-B9A4-72FCF2F963C5}"/>
    <hyperlink ref="N66" r:id="rId38" xr:uid="{4532CBEC-CC37-4AED-807C-6292460E6736}"/>
    <hyperlink ref="N82" r:id="rId39" xr:uid="{0993685B-DA84-408B-AD93-68B80C77C82D}"/>
    <hyperlink ref="N74" r:id="rId40" xr:uid="{6DD8DAAA-84D5-45DA-89EA-CECB1F376CA4}"/>
    <hyperlink ref="N78" r:id="rId41" xr:uid="{D1B1C949-E1B5-4113-9601-D7913BD584B5}"/>
    <hyperlink ref="N79" r:id="rId42" xr:uid="{7E57B8FF-2D54-45E1-9F44-6440E9E923F3}"/>
    <hyperlink ref="N107" r:id="rId43" xr:uid="{493FF574-6815-4CC1-A92A-CA55FB9BFB4E}"/>
    <hyperlink ref="N105" r:id="rId44" xr:uid="{702FA59D-4080-4F98-8C3D-A4CDAD1616F8}"/>
    <hyperlink ref="N85" r:id="rId45" xr:uid="{FC9A055E-4A15-4055-94BF-0C4E6E152698}"/>
    <hyperlink ref="N76" r:id="rId46" xr:uid="{78A0C362-95D0-4AAB-87D5-8D1C72F4DCFA}"/>
    <hyperlink ref="N103" r:id="rId47" xr:uid="{EE6AEE7C-E30F-45D2-8696-6DA2F4D11D21}"/>
    <hyperlink ref="N87" r:id="rId48" xr:uid="{DCC8B0AC-94A5-4D60-8F23-59A62DFB2F55}"/>
    <hyperlink ref="N102" r:id="rId49" xr:uid="{0945EB97-090F-4781-B416-DC7B6A9B040E}"/>
    <hyperlink ref="N116" r:id="rId50" xr:uid="{BD44FEA0-8513-45C2-AE15-66E10BA5522F}"/>
    <hyperlink ref="N112" r:id="rId51" xr:uid="{4433E995-103E-42F6-AAAB-D608234E4802}"/>
    <hyperlink ref="N121" r:id="rId52" display="gaelle@touroul.com" xr:uid="{C2D21CA9-B025-445E-A94A-C51A013E9E8F}"/>
    <hyperlink ref="N114" r:id="rId53" xr:uid="{FE607903-B7E6-4CE1-BD8A-96C1290DFBF2}"/>
    <hyperlink ref="N109" r:id="rId54" xr:uid="{DA570E11-E50E-464E-99C3-2D53D8C3CBC1}"/>
    <hyperlink ref="N101" r:id="rId55" xr:uid="{D90AD95B-D321-41E9-9492-919B6C91D501}"/>
    <hyperlink ref="N115" r:id="rId56" xr:uid="{983B3E11-B149-462C-AFF0-3707C597DAFC}"/>
    <hyperlink ref="N110" r:id="rId57" xr:uid="{818BD64E-28A0-4F96-BF8E-206BE8320947}"/>
    <hyperlink ref="N111" r:id="rId58" xr:uid="{D4626EBC-2FA9-4F0A-BDF0-189AF4BF0316}"/>
    <hyperlink ref="N104" r:id="rId59" xr:uid="{95AAB2D0-C718-475B-979F-9159ADD696E5}"/>
    <hyperlink ref="N123" r:id="rId60" xr:uid="{060327ED-20FB-461D-937A-48D48E3F3628}"/>
    <hyperlink ref="N135" r:id="rId61" xr:uid="{678C9F4C-24F5-474C-900D-1758B7E70D4C}"/>
    <hyperlink ref="N118" r:id="rId62" xr:uid="{5DDD4998-9638-4B95-B11B-F991B8D6CB51}"/>
    <hyperlink ref="N139" r:id="rId63" xr:uid="{EC53EF00-D380-4A8C-8CB1-1ECF6C27BDC6}"/>
    <hyperlink ref="N140" r:id="rId64" xr:uid="{39D75ACA-4500-4BBE-89D9-F9FB1343F5B1}"/>
    <hyperlink ref="N141" r:id="rId65" xr:uid="{2EFF077F-5B0C-4495-B2AF-DDE1AC9AFAA1}"/>
    <hyperlink ref="N119" r:id="rId66" xr:uid="{D7C0E8A2-D6E9-4941-B888-A8D95C61503D}"/>
    <hyperlink ref="N142" r:id="rId67" xr:uid="{6FD33E71-21BF-43A0-AC9E-E58114E5D2D4}"/>
    <hyperlink ref="N117" r:id="rId68" xr:uid="{554B8759-0517-4457-9DE4-2CC2E05EE93E}"/>
    <hyperlink ref="N122" r:id="rId69" xr:uid="{0E021EBF-0B2F-47F2-8A70-6AEFC3639530}"/>
    <hyperlink ref="N120" r:id="rId70" xr:uid="{5194B09E-CEFC-4D92-9972-0846D40A3AE1}"/>
    <hyperlink ref="N151" r:id="rId71" xr:uid="{C6E9864A-52B2-4049-A8AC-67125C2FF903}"/>
    <hyperlink ref="N150" r:id="rId72" xr:uid="{CDB3A93C-0CD8-43BC-9B76-751A5335E16E}"/>
    <hyperlink ref="N154" r:id="rId73" xr:uid="{D49D6C5E-7018-41C5-A8F5-3165B84CBCD3}"/>
    <hyperlink ref="N143" r:id="rId74" xr:uid="{84D42E84-341C-4003-96F5-8374F76D7870}"/>
    <hyperlink ref="N136" r:id="rId75" xr:uid="{61C8EA3A-3C5A-437B-90B1-B3CB2190BF8B}"/>
    <hyperlink ref="N144" r:id="rId76" xr:uid="{6A82DEE6-9D1C-425D-A8DB-37883FF4FE11}"/>
    <hyperlink ref="N149" r:id="rId77" xr:uid="{1B291219-F25D-4ED0-9C96-BDB34993F05E}"/>
    <hyperlink ref="N147" r:id="rId78" xr:uid="{E22D573B-49EB-4B4B-A35E-CD5020207F22}"/>
    <hyperlink ref="N148" r:id="rId79" xr:uid="{7701C195-EEE8-4EE6-ACF6-DD0B2D09ECD9}"/>
    <hyperlink ref="N137" r:id="rId80" xr:uid="{0F071595-04EC-4734-86E7-039345704053}"/>
    <hyperlink ref="N146" r:id="rId81" xr:uid="{46BF9EB5-3EF0-42B5-B714-AC4BF8866896}"/>
    <hyperlink ref="N185" r:id="rId82" xr:uid="{E2275ACD-052D-43A1-9CFB-23D17EFAAC50}"/>
    <hyperlink ref="N138" r:id="rId83" xr:uid="{293B5DBF-2517-423C-A79C-981A1FC33BBF}"/>
    <hyperlink ref="N153" r:id="rId84" xr:uid="{7F8A29DB-8CBD-4752-9CF7-2A96240D7EF1}"/>
    <hyperlink ref="N181" r:id="rId85" xr:uid="{213FC462-FB74-40A0-83C9-3DA6591851E7}"/>
    <hyperlink ref="N156" r:id="rId86" xr:uid="{79AE918B-C1E7-40A3-9C16-B49A721EA544}"/>
    <hyperlink ref="N184" r:id="rId87" xr:uid="{F7E9ABE0-9738-4F26-9726-6472290A9A1A}"/>
    <hyperlink ref="N183" r:id="rId88" xr:uid="{563149BF-5100-4181-9DED-3A1E46B1C26C}"/>
    <hyperlink ref="N204" r:id="rId89" xr:uid="{99820976-8A88-427D-A559-79AE22FA856C}"/>
    <hyperlink ref="N189" r:id="rId90" xr:uid="{81899661-79B7-462C-8D4E-4F92C2A6FE12}"/>
    <hyperlink ref="N197" r:id="rId91" xr:uid="{1C4045D7-7438-4ABA-9E3E-94531B1757FF}"/>
    <hyperlink ref="N200" r:id="rId92" xr:uid="{50236EB8-39F4-484E-9CB8-0CF34C25D39F}"/>
    <hyperlink ref="N157" r:id="rId93" xr:uid="{741177B6-0786-4740-901A-42FCBD434440}"/>
    <hyperlink ref="N180" r:id="rId94" xr:uid="{D687EDA5-7E93-42C1-A3B3-7CF1F0AA5493}"/>
    <hyperlink ref="N196" r:id="rId95" xr:uid="{FCAE16ED-2C8D-4E2A-A0A2-4F24F94BF368}"/>
    <hyperlink ref="N194" r:id="rId96" xr:uid="{23DEFB8C-6D43-4163-8AA1-55E7FB8254B6}"/>
    <hyperlink ref="N193" r:id="rId97" xr:uid="{91CE3916-4D43-435D-9B3E-D64361303503}"/>
    <hyperlink ref="N195" r:id="rId98" xr:uid="{93914709-025D-4221-A58B-0DE0BF772419}"/>
    <hyperlink ref="N201" r:id="rId99" xr:uid="{5F9EE048-3043-4576-83DC-9E70973C4717}"/>
    <hyperlink ref="N187" r:id="rId100" xr:uid="{38D66721-4C73-4AB6-9D77-B1E453770F2E}"/>
    <hyperlink ref="N186" r:id="rId101" xr:uid="{54308C11-954A-4B2A-A810-EFCBAD80D811}"/>
    <hyperlink ref="N199" r:id="rId102" xr:uid="{CE756104-1A9F-485B-8DE9-DDCE905BFCED}"/>
    <hyperlink ref="N190" r:id="rId103" xr:uid="{533A7127-28D3-44D5-AFA2-F8AEB6C24D6B}"/>
    <hyperlink ref="N198" r:id="rId104" xr:uid="{CFA79C0D-3067-415F-91DA-9EC28CB0417D}"/>
    <hyperlink ref="N191" r:id="rId105" display="ben_ney@hotmail.com" xr:uid="{35C69E57-BE4A-4AD4-8298-ED10B0434DEB}"/>
    <hyperlink ref="N228" r:id="rId106" xr:uid="{1A95EAFE-5D39-482F-94C6-BE4720612173}"/>
    <hyperlink ref="N188" r:id="rId107" xr:uid="{58ED1651-6B03-464C-B497-88ACD50C8604}"/>
    <hyperlink ref="N192" r:id="rId108" xr:uid="{59A0DB86-14F8-47F5-9429-2CA8AA86378F}"/>
    <hyperlink ref="N244" r:id="rId109" xr:uid="{666BEF7C-CAB3-40E0-8539-7AAD16E99F31}"/>
    <hyperlink ref="N238" r:id="rId110" xr:uid="{FF3440ED-7A16-4F4E-ABE7-4128391F40DA}"/>
    <hyperlink ref="N202" r:id="rId111" xr:uid="{EB59E220-03FC-426E-A605-C7E7F361B744}"/>
    <hyperlink ref="N242" r:id="rId112" xr:uid="{6675CEE1-9140-457C-9120-EA6B009C6FF2}"/>
    <hyperlink ref="N233" r:id="rId113" xr:uid="{519EFE6F-945F-4D80-9DA6-0529F4073097}"/>
    <hyperlink ref="N227" r:id="rId114" xr:uid="{FE46F5F6-A9D2-45F7-9440-69F98597E501}"/>
    <hyperlink ref="N239" r:id="rId115" xr:uid="{88ECEE9B-6578-48BE-9920-CD68B7AAE66D}"/>
    <hyperlink ref="N237" r:id="rId116" xr:uid="{7B0AE832-9696-4F26-8759-19FA4E2F95FA}"/>
    <hyperlink ref="N203" r:id="rId117" xr:uid="{7D0F0AD2-2B0D-4F71-A264-78A140CFB920}"/>
    <hyperlink ref="N235" r:id="rId118" xr:uid="{A23429F4-5CC2-4AE4-8712-197114D89A91}"/>
    <hyperlink ref="N240" r:id="rId119" xr:uid="{994C61A9-B4EB-499A-B9FB-C079172ADF1C}"/>
    <hyperlink ref="N230" r:id="rId120" xr:uid="{DD1EFAE2-3F50-404B-916D-6CCAC3B84BB9}"/>
    <hyperlink ref="N229" r:id="rId121" xr:uid="{45B437D0-5D38-4C13-B203-C9B1FFF870A5}"/>
    <hyperlink ref="N232" r:id="rId122" xr:uid="{ECAF19D1-1346-4017-ADD2-9DAC205EE39B}"/>
    <hyperlink ref="N243" r:id="rId123" xr:uid="{FEEF5827-124A-4F7A-85D7-D778C5A65683}"/>
    <hyperlink ref="N231" r:id="rId124" xr:uid="{C287A4A2-881D-40DC-8223-49F2270A9525}"/>
    <hyperlink ref="N225" r:id="rId125" xr:uid="{38A04431-557E-46E1-9255-0B555987F566}"/>
    <hyperlink ref="N280" r:id="rId126" xr:uid="{99B5E0B6-D133-449F-8234-41A01AFC0C28}"/>
    <hyperlink ref="N249" r:id="rId127" xr:uid="{DE4D1C17-0575-4C29-A3FB-50943D38FF86}"/>
    <hyperlink ref="N276" r:id="rId128" xr:uid="{3259BD43-DECD-4217-A6BE-BF308D5C5BA5}"/>
    <hyperlink ref="N245" r:id="rId129" xr:uid="{75C9A979-3FC3-48A0-8943-EA0413AC7856}"/>
    <hyperlink ref="N246" r:id="rId130" xr:uid="{9D535861-5324-40B2-8DC0-B1F23BF8DF22}"/>
    <hyperlink ref="N236" r:id="rId131" xr:uid="{62180672-1D15-4A65-A435-3DEDC53E3478}"/>
    <hyperlink ref="N277" r:id="rId132" xr:uid="{2172480C-A910-4596-8494-B238F9CAB96A}"/>
    <hyperlink ref="N273" r:id="rId133" xr:uid="{DC6003EC-ABD3-4D52-9033-1B73913792D7}"/>
    <hyperlink ref="N275" r:id="rId134" xr:uid="{AA4C022E-5E7F-4DDF-9170-B73F3F582E65}"/>
    <hyperlink ref="N241" r:id="rId135" xr:uid="{FF86B323-CE3E-43AD-9498-B5241280F45F}"/>
    <hyperlink ref="N248" r:id="rId136" xr:uid="{AA11C5EE-FCC1-422B-895E-3ABFA83F159E}"/>
    <hyperlink ref="N292" r:id="rId137" xr:uid="{FA373B75-B699-425C-A03D-6579FF2DD605}"/>
    <hyperlink ref="N282" r:id="rId138" xr:uid="{9686BF78-0D5F-49FD-8A45-2153AADB057A}"/>
    <hyperlink ref="N281" r:id="rId139" xr:uid="{0B04280E-EADD-4642-B96B-91744AC683C8}"/>
    <hyperlink ref="N288" r:id="rId140" xr:uid="{666DA7E3-E629-4EFB-AAD8-210267FF4C56}"/>
    <hyperlink ref="N287" r:id="rId141" xr:uid="{97BAF523-71BB-4CE4-8C70-77116C37DAD3}"/>
    <hyperlink ref="N291" r:id="rId142" xr:uid="{76BCB8E1-10B1-4D7C-8F27-366910F61193}"/>
    <hyperlink ref="N283" r:id="rId143" xr:uid="{976AA46E-A2E5-4005-905D-CDB0F3DC3E12}"/>
    <hyperlink ref="N278" r:id="rId144" xr:uid="{2EDD1F99-AE39-481E-8336-4E875288F31D}"/>
    <hyperlink ref="N279" r:id="rId145" xr:uid="{FB293511-3BB9-47D7-97E4-2E413582C559}"/>
    <hyperlink ref="N269" r:id="rId146" xr:uid="{D77960DC-BDE2-451F-97DE-4CF2730AF9FC}"/>
    <hyperlink ref="N284" r:id="rId147" xr:uid="{B3D71BA7-1A33-49BF-AB67-2E03D3C3B56A}"/>
    <hyperlink ref="N286" r:id="rId148" xr:uid="{2439DBD5-A24D-4F45-8385-30D9D4AAB6C1}"/>
    <hyperlink ref="N295" r:id="rId149" xr:uid="{ED2974B0-4521-4C1E-AEDF-84EF729FEE26}"/>
    <hyperlink ref="N285" r:id="rId150" xr:uid="{C5727244-64CB-4C0B-9610-863D5EEBB4AC}"/>
    <hyperlink ref="N321" r:id="rId151" xr:uid="{50AAFC48-844E-4E43-B40C-A6331385425B}"/>
    <hyperlink ref="N290" r:id="rId152" xr:uid="{F677F17C-0149-48BD-8FF3-5BF503737327}"/>
    <hyperlink ref="N319" r:id="rId153" xr:uid="{8EC8DA82-DB3C-4CAC-B751-695BD9DD6767}"/>
    <hyperlink ref="N324" r:id="rId154" xr:uid="{F82E3BF0-409E-4FC4-B1DC-52211E2372D9}"/>
    <hyperlink ref="N289" r:id="rId155" xr:uid="{9B72B978-F3E3-4080-8518-9B2F6D307685}"/>
    <hyperlink ref="N325" r:id="rId156" xr:uid="{02F3D560-4E23-407E-B311-1F85554E1BA0}"/>
  </hyperlinks>
  <pageMargins left="0.7" right="0.7" top="0.75" bottom="0.75" header="0.3" footer="0.3"/>
  <pageSetup paperSize="9" orientation="portrait" r:id="rId157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207D9-20C5-46F8-9DAD-6CE36FB05394}">
  <dimension ref="A5:G11"/>
  <sheetViews>
    <sheetView workbookViewId="0">
      <selection activeCell="B7" sqref="B7"/>
    </sheetView>
  </sheetViews>
  <sheetFormatPr baseColWidth="10" defaultRowHeight="13.2"/>
  <sheetData>
    <row r="5" spans="1:7">
      <c r="A5" s="1079" t="s">
        <v>925</v>
      </c>
      <c r="B5" s="1079" t="s">
        <v>1</v>
      </c>
      <c r="C5" s="1079" t="s">
        <v>370</v>
      </c>
      <c r="D5" s="1079" t="s">
        <v>371</v>
      </c>
      <c r="E5" s="1079" t="s">
        <v>5</v>
      </c>
      <c r="F5" s="1079" t="s">
        <v>3191</v>
      </c>
      <c r="G5" s="1079" t="s">
        <v>991</v>
      </c>
    </row>
    <row r="6" spans="1:7">
      <c r="A6" s="1088" t="s">
        <v>3156</v>
      </c>
      <c r="B6" s="1080" t="s">
        <v>538</v>
      </c>
      <c r="C6" s="1081">
        <v>44639</v>
      </c>
      <c r="D6" s="1081">
        <v>44646</v>
      </c>
      <c r="E6" s="1080" t="s">
        <v>18</v>
      </c>
      <c r="F6" s="1080" t="s">
        <v>1192</v>
      </c>
      <c r="G6" s="1082">
        <v>1</v>
      </c>
    </row>
    <row r="7" spans="1:7">
      <c r="A7" s="1083" t="s">
        <v>3056</v>
      </c>
      <c r="B7" s="1084" t="s">
        <v>3063</v>
      </c>
      <c r="C7" s="1085">
        <v>44646</v>
      </c>
      <c r="D7" s="1085">
        <v>44653</v>
      </c>
      <c r="E7" s="1084" t="s">
        <v>18</v>
      </c>
      <c r="F7" s="1084" t="s">
        <v>3062</v>
      </c>
      <c r="G7" s="1086">
        <v>1</v>
      </c>
    </row>
    <row r="8" spans="1:7">
      <c r="A8" s="1083" t="s">
        <v>3149</v>
      </c>
      <c r="B8" s="1084" t="s">
        <v>3148</v>
      </c>
      <c r="C8" s="1085">
        <v>44653</v>
      </c>
      <c r="D8" s="1085">
        <v>44660</v>
      </c>
      <c r="E8" s="1084" t="s">
        <v>18</v>
      </c>
      <c r="F8" s="1084" t="s">
        <v>3190</v>
      </c>
      <c r="G8" s="1086">
        <v>1</v>
      </c>
    </row>
    <row r="9" spans="1:7">
      <c r="A9" s="1084" t="s">
        <v>2470</v>
      </c>
      <c r="B9" s="1084" t="s">
        <v>2471</v>
      </c>
      <c r="C9" s="1085">
        <v>44660</v>
      </c>
      <c r="D9" s="1085">
        <v>43937</v>
      </c>
      <c r="E9" s="1084" t="s">
        <v>18</v>
      </c>
      <c r="F9" s="1084" t="s">
        <v>3187</v>
      </c>
      <c r="G9" s="1086">
        <v>1</v>
      </c>
    </row>
    <row r="10" spans="1:7">
      <c r="A10" s="1087" t="s">
        <v>614</v>
      </c>
      <c r="B10" s="1080" t="s">
        <v>3032</v>
      </c>
      <c r="C10" s="1081">
        <v>44667</v>
      </c>
      <c r="D10" s="1081">
        <v>44681</v>
      </c>
      <c r="E10" s="1080" t="s">
        <v>18</v>
      </c>
      <c r="F10" s="1080" t="s">
        <v>1192</v>
      </c>
      <c r="G10" s="1082">
        <v>2</v>
      </c>
    </row>
    <row r="11" spans="1:7">
      <c r="A11" s="1084" t="s">
        <v>2304</v>
      </c>
      <c r="B11" s="1084" t="s">
        <v>1772</v>
      </c>
      <c r="C11" s="1085">
        <v>44681</v>
      </c>
      <c r="D11" s="1085">
        <v>44695</v>
      </c>
      <c r="E11" s="1084" t="s">
        <v>18</v>
      </c>
      <c r="F11" s="1084" t="s">
        <v>2294</v>
      </c>
      <c r="G11" s="1086">
        <v>2</v>
      </c>
    </row>
  </sheetData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90"/>
  <sheetViews>
    <sheetView topLeftCell="A19" workbookViewId="0">
      <selection activeCell="H47" sqref="H47"/>
    </sheetView>
  </sheetViews>
  <sheetFormatPr baseColWidth="10" defaultRowHeight="13.2"/>
  <cols>
    <col min="13" max="13" width="20.77734375" bestFit="1" customWidth="1"/>
  </cols>
  <sheetData>
    <row r="1" spans="1:7">
      <c r="A1" s="7" t="s">
        <v>9</v>
      </c>
      <c r="G1" s="69" t="s">
        <v>683</v>
      </c>
    </row>
    <row r="2" spans="1:7">
      <c r="A2" s="49" t="s">
        <v>243</v>
      </c>
      <c r="G2" s="63" t="s">
        <v>760</v>
      </c>
    </row>
    <row r="3" spans="1:7">
      <c r="A3" s="49" t="s">
        <v>282</v>
      </c>
      <c r="G3" s="50" t="s">
        <v>1059</v>
      </c>
    </row>
    <row r="4" spans="1:7">
      <c r="A4" s="49" t="s">
        <v>275</v>
      </c>
      <c r="G4" s="60" t="s">
        <v>1381</v>
      </c>
    </row>
    <row r="5" spans="1:7">
      <c r="A5" s="49" t="s">
        <v>302</v>
      </c>
      <c r="G5" s="50" t="s">
        <v>1290</v>
      </c>
    </row>
    <row r="6" spans="1:7">
      <c r="A6" s="63" t="s">
        <v>413</v>
      </c>
      <c r="G6" s="50" t="s">
        <v>502</v>
      </c>
    </row>
    <row r="7" spans="1:7">
      <c r="A7" s="50" t="s">
        <v>1203</v>
      </c>
      <c r="G7" s="51" t="s">
        <v>409</v>
      </c>
    </row>
    <row r="8" spans="1:7">
      <c r="A8" s="50" t="s">
        <v>546</v>
      </c>
      <c r="G8" s="51" t="s">
        <v>598</v>
      </c>
    </row>
    <row r="9" spans="1:7">
      <c r="A9" s="50" t="s">
        <v>492</v>
      </c>
      <c r="G9" s="63" t="s">
        <v>711</v>
      </c>
    </row>
    <row r="10" spans="1:7">
      <c r="A10" s="50" t="s">
        <v>1168</v>
      </c>
      <c r="G10" s="121" t="s">
        <v>1506</v>
      </c>
    </row>
    <row r="11" spans="1:7">
      <c r="A11" s="50" t="s">
        <v>990</v>
      </c>
      <c r="G11" s="121" t="s">
        <v>1468</v>
      </c>
    </row>
    <row r="12" spans="1:7">
      <c r="A12" s="50" t="s">
        <v>1292</v>
      </c>
      <c r="G12" s="50" t="s">
        <v>1179</v>
      </c>
    </row>
    <row r="13" spans="1:7">
      <c r="A13" s="50" t="s">
        <v>731</v>
      </c>
      <c r="G13" s="50" t="s">
        <v>565</v>
      </c>
    </row>
    <row r="14" spans="1:7">
      <c r="A14" s="50" t="s">
        <v>434</v>
      </c>
      <c r="G14" s="60" t="s">
        <v>1369</v>
      </c>
    </row>
    <row r="15" spans="1:7">
      <c r="A15" s="69" t="s">
        <v>1078</v>
      </c>
      <c r="G15" s="50" t="s">
        <v>1050</v>
      </c>
    </row>
    <row r="16" spans="1:7">
      <c r="A16" s="69" t="s">
        <v>1004</v>
      </c>
      <c r="G16" s="50" t="s">
        <v>554</v>
      </c>
    </row>
    <row r="17" spans="1:7">
      <c r="A17" s="50" t="s">
        <v>852</v>
      </c>
      <c r="G17" s="125" t="s">
        <v>1547</v>
      </c>
    </row>
    <row r="18" spans="1:7">
      <c r="A18" s="51" t="s">
        <v>402</v>
      </c>
      <c r="G18" s="50" t="s">
        <v>1112</v>
      </c>
    </row>
    <row r="19" spans="1:7">
      <c r="A19" s="60" t="s">
        <v>1068</v>
      </c>
      <c r="G19" s="50" t="s">
        <v>930</v>
      </c>
    </row>
    <row r="20" spans="1:7">
      <c r="A20" s="49" t="s">
        <v>267</v>
      </c>
      <c r="G20" s="60" t="s">
        <v>1419</v>
      </c>
    </row>
    <row r="21" spans="1:7">
      <c r="A21" s="60" t="s">
        <v>1342</v>
      </c>
      <c r="G21" s="50" t="s">
        <v>786</v>
      </c>
    </row>
    <row r="22" spans="1:7">
      <c r="A22" s="51" t="s">
        <v>393</v>
      </c>
      <c r="G22" s="50" t="s">
        <v>950</v>
      </c>
    </row>
    <row r="23" spans="1:7">
      <c r="A23" s="50" t="s">
        <v>928</v>
      </c>
      <c r="G23" s="50" t="s">
        <v>615</v>
      </c>
    </row>
    <row r="24" spans="1:7">
      <c r="A24" s="50" t="s">
        <v>727</v>
      </c>
      <c r="G24" s="55" t="s">
        <v>495</v>
      </c>
    </row>
    <row r="25" spans="1:7">
      <c r="A25" s="69" t="s">
        <v>800</v>
      </c>
      <c r="G25" s="121" t="s">
        <v>1587</v>
      </c>
    </row>
    <row r="26" spans="1:7">
      <c r="A26" s="63" t="s">
        <v>698</v>
      </c>
      <c r="G26" s="121" t="s">
        <v>1484</v>
      </c>
    </row>
    <row r="27" spans="1:7" ht="13.8" thickBot="1">
      <c r="A27" s="60" t="s">
        <v>1402</v>
      </c>
      <c r="G27" s="112" t="s">
        <v>1020</v>
      </c>
    </row>
    <row r="28" spans="1:7">
      <c r="A28" s="50" t="s">
        <v>1099</v>
      </c>
      <c r="G28" s="50" t="s">
        <v>469</v>
      </c>
    </row>
    <row r="29" spans="1:7" ht="13.8" thickBot="1">
      <c r="A29" s="50" t="s">
        <v>825</v>
      </c>
      <c r="G29" s="60" t="s">
        <v>1440</v>
      </c>
    </row>
    <row r="30" spans="1:7">
      <c r="A30" s="50" t="s">
        <v>482</v>
      </c>
      <c r="G30" s="54" t="s">
        <v>607</v>
      </c>
    </row>
    <row r="31" spans="1:7">
      <c r="A31" s="107" t="s">
        <v>751</v>
      </c>
      <c r="G31" s="50" t="s">
        <v>887</v>
      </c>
    </row>
    <row r="32" spans="1:7">
      <c r="A32" s="63" t="s">
        <v>704</v>
      </c>
      <c r="G32" s="117" t="s">
        <v>1475</v>
      </c>
    </row>
    <row r="33" spans="1:7">
      <c r="A33" s="49" t="s">
        <v>359</v>
      </c>
      <c r="G33" s="50" t="s">
        <v>958</v>
      </c>
    </row>
    <row r="34" spans="1:7">
      <c r="A34" s="63" t="s">
        <v>754</v>
      </c>
      <c r="G34" s="60" t="s">
        <v>1320</v>
      </c>
    </row>
    <row r="35" spans="1:7">
      <c r="A35" s="50" t="s">
        <v>1042</v>
      </c>
      <c r="G35" s="50" t="s">
        <v>1200</v>
      </c>
    </row>
    <row r="36" spans="1:7">
      <c r="A36" s="69" t="s">
        <v>1034</v>
      </c>
      <c r="G36" s="50" t="s">
        <v>1264</v>
      </c>
    </row>
    <row r="37" spans="1:7">
      <c r="A37" s="63" t="s">
        <v>767</v>
      </c>
      <c r="G37" s="50" t="s">
        <v>1215</v>
      </c>
    </row>
    <row r="38" spans="1:7">
      <c r="A38" s="60" t="s">
        <v>1409</v>
      </c>
      <c r="G38" s="50" t="s">
        <v>815</v>
      </c>
    </row>
    <row r="39" spans="1:7">
      <c r="A39" s="50" t="s">
        <v>572</v>
      </c>
      <c r="G39" s="50" t="s">
        <v>448</v>
      </c>
    </row>
    <row r="40" spans="1:7">
      <c r="A40" s="50" t="s">
        <v>1096</v>
      </c>
      <c r="G40" s="50" t="s">
        <v>866</v>
      </c>
    </row>
    <row r="41" spans="1:7">
      <c r="A41" s="50" t="s">
        <v>593</v>
      </c>
      <c r="G41" s="51" t="s">
        <v>625</v>
      </c>
    </row>
    <row r="42" spans="1:7">
      <c r="A42" s="50" t="s">
        <v>657</v>
      </c>
      <c r="G42" s="110" t="s">
        <v>1328</v>
      </c>
    </row>
    <row r="43" spans="1:7">
      <c r="A43" s="50" t="s">
        <v>174</v>
      </c>
      <c r="G43" s="51" t="s">
        <v>650</v>
      </c>
    </row>
    <row r="44" spans="1:7">
      <c r="A44" s="50" t="s">
        <v>967</v>
      </c>
      <c r="G44" s="121" t="s">
        <v>1590</v>
      </c>
    </row>
    <row r="45" spans="1:7">
      <c r="A45" s="49" t="s">
        <v>342</v>
      </c>
      <c r="G45" s="60" t="s">
        <v>1311</v>
      </c>
    </row>
    <row r="46" spans="1:7">
      <c r="A46" s="50" t="s">
        <v>609</v>
      </c>
      <c r="G46" s="60" t="s">
        <v>1425</v>
      </c>
    </row>
    <row r="47" spans="1:7">
      <c r="A47" s="49" t="s">
        <v>261</v>
      </c>
      <c r="G47" s="50" t="s">
        <v>859</v>
      </c>
    </row>
    <row r="48" spans="1:7">
      <c r="A48" s="50" t="s">
        <v>1129</v>
      </c>
      <c r="G48" s="108" t="s">
        <v>776</v>
      </c>
    </row>
    <row r="49" spans="1:7">
      <c r="A49" s="49" t="s">
        <v>354</v>
      </c>
      <c r="G49" s="50" t="s">
        <v>1153</v>
      </c>
    </row>
    <row r="50" spans="1:7">
      <c r="A50" s="49" t="s">
        <v>278</v>
      </c>
      <c r="G50" s="60" t="s">
        <v>1336</v>
      </c>
    </row>
    <row r="51" spans="1:7">
      <c r="A51" s="50" t="s">
        <v>536</v>
      </c>
      <c r="G51" s="50" t="s">
        <v>673</v>
      </c>
    </row>
    <row r="52" spans="1:7">
      <c r="A52" s="50" t="s">
        <v>514</v>
      </c>
      <c r="G52" s="50" t="s">
        <v>1137</v>
      </c>
    </row>
    <row r="53" spans="1:7">
      <c r="A53" s="50" t="s">
        <v>525</v>
      </c>
      <c r="G53" s="60" t="s">
        <v>1339</v>
      </c>
    </row>
    <row r="54" spans="1:7" ht="13.8" thickBot="1">
      <c r="A54" s="50" t="s">
        <v>784</v>
      </c>
      <c r="G54" s="131" t="s">
        <v>1515</v>
      </c>
    </row>
    <row r="55" spans="1:7">
      <c r="A55" s="63" t="s">
        <v>743</v>
      </c>
      <c r="G55" s="51" t="s">
        <v>376</v>
      </c>
    </row>
    <row r="56" spans="1:7" ht="13.8" thickBot="1">
      <c r="A56" s="50" t="s">
        <v>638</v>
      </c>
      <c r="G56" s="50" t="s">
        <v>1164</v>
      </c>
    </row>
    <row r="57" spans="1:7">
      <c r="A57" s="49" t="s">
        <v>142</v>
      </c>
      <c r="G57" s="54" t="s">
        <v>513</v>
      </c>
    </row>
    <row r="58" spans="1:7">
      <c r="A58" s="109" t="s">
        <v>1344</v>
      </c>
      <c r="G58" s="50" t="s">
        <v>764</v>
      </c>
    </row>
    <row r="59" spans="1:7">
      <c r="A59" s="49" t="s">
        <v>250</v>
      </c>
      <c r="G59" s="50" t="s">
        <v>1274</v>
      </c>
    </row>
    <row r="60" spans="1:7">
      <c r="A60" s="60" t="s">
        <v>1394</v>
      </c>
      <c r="G60" s="49" t="s">
        <v>1566</v>
      </c>
    </row>
    <row r="61" spans="1:7">
      <c r="A61" s="60" t="s">
        <v>1360</v>
      </c>
      <c r="G61" s="127" t="s">
        <v>1615</v>
      </c>
    </row>
    <row r="62" spans="1:7">
      <c r="A62" s="50" t="s">
        <v>485</v>
      </c>
      <c r="G62" s="50" t="s">
        <v>1256</v>
      </c>
    </row>
    <row r="63" spans="1:7">
      <c r="A63" s="50" t="s">
        <v>445</v>
      </c>
      <c r="G63" s="50" t="s">
        <v>1191</v>
      </c>
    </row>
    <row r="64" spans="1:7">
      <c r="A64" s="50" t="s">
        <v>1146</v>
      </c>
      <c r="G64" s="50" t="s">
        <v>620</v>
      </c>
    </row>
    <row r="65" spans="1:13">
      <c r="A65" s="63" t="s">
        <v>690</v>
      </c>
      <c r="G65" s="60" t="s">
        <v>1299</v>
      </c>
    </row>
    <row r="66" spans="1:13">
      <c r="A66" s="49" t="s">
        <v>191</v>
      </c>
      <c r="G66" s="50" t="s">
        <v>1243</v>
      </c>
    </row>
    <row r="67" spans="1:13">
      <c r="A67" s="50" t="s">
        <v>352</v>
      </c>
      <c r="G67" s="50" t="s">
        <v>881</v>
      </c>
    </row>
    <row r="68" spans="1:13">
      <c r="A68" s="50" t="s">
        <v>1250</v>
      </c>
      <c r="G68" s="121" t="s">
        <v>1613</v>
      </c>
    </row>
    <row r="69" spans="1:13">
      <c r="A69" s="51" t="s">
        <v>623</v>
      </c>
      <c r="G69" s="50" t="s">
        <v>1010</v>
      </c>
      <c r="M69">
        <f>25*13</f>
        <v>325</v>
      </c>
    </row>
    <row r="70" spans="1:13">
      <c r="A70" s="50" t="s">
        <v>871</v>
      </c>
      <c r="G70" s="117" t="s">
        <v>1499</v>
      </c>
    </row>
    <row r="71" spans="1:13">
      <c r="A71" s="50" t="s">
        <v>382</v>
      </c>
      <c r="G71" s="50" t="s">
        <v>940</v>
      </c>
    </row>
    <row r="72" spans="1:13" ht="13.8" thickBot="1">
      <c r="A72" s="50" t="s">
        <v>1110</v>
      </c>
      <c r="G72" s="130" t="s">
        <v>401</v>
      </c>
    </row>
    <row r="73" spans="1:13">
      <c r="A73" s="50" t="s">
        <v>1234</v>
      </c>
      <c r="G73" s="50" t="s">
        <v>665</v>
      </c>
    </row>
    <row r="74" spans="1:13">
      <c r="A74" s="50" t="s">
        <v>461</v>
      </c>
      <c r="G74" s="60" t="s">
        <v>1459</v>
      </c>
    </row>
    <row r="75" spans="1:13">
      <c r="A75" s="50" t="s">
        <v>472</v>
      </c>
      <c r="G75" s="50" t="s">
        <v>721</v>
      </c>
    </row>
    <row r="76" spans="1:13">
      <c r="A76" s="50" t="s">
        <v>532</v>
      </c>
      <c r="G76" s="7"/>
    </row>
    <row r="77" spans="1:13">
      <c r="A77" s="50"/>
      <c r="G77" s="49"/>
    </row>
    <row r="78" spans="1:13">
      <c r="A78" s="50"/>
      <c r="G78" s="8"/>
    </row>
    <row r="79" spans="1:13">
      <c r="A79" s="50"/>
      <c r="G79" s="127"/>
    </row>
    <row r="80" spans="1:13">
      <c r="A80" s="50"/>
    </row>
    <row r="81" spans="1:1">
      <c r="A81" s="109"/>
    </row>
    <row r="82" spans="1:1">
      <c r="A82" s="50"/>
    </row>
    <row r="83" spans="1:1">
      <c r="A83" s="50"/>
    </row>
    <row r="84" spans="1:1">
      <c r="A84" s="63"/>
    </row>
    <row r="85" spans="1:1">
      <c r="A85" s="49"/>
    </row>
    <row r="86" spans="1:1">
      <c r="A86" s="51"/>
    </row>
    <row r="87" spans="1:1">
      <c r="A87" s="51"/>
    </row>
    <row r="88" spans="1:1">
      <c r="A88" s="60"/>
    </row>
    <row r="89" spans="1:1">
      <c r="A89" s="49"/>
    </row>
    <row r="90" spans="1:1">
      <c r="A90" s="49"/>
    </row>
  </sheetData>
  <sortState xmlns:xlrd2="http://schemas.microsoft.com/office/spreadsheetml/2017/richdata2" ref="G1:G90">
    <sortCondition ref="G1:G90"/>
  </sortState>
  <hyperlinks>
    <hyperlink ref="A59" r:id="rId1" xr:uid="{00000000-0004-0000-0700-000000000000}"/>
    <hyperlink ref="A38" r:id="rId2" xr:uid="{00000000-0004-0000-0700-000001000000}"/>
    <hyperlink ref="A27" r:id="rId3" xr:uid="{00000000-0004-0000-0700-000002000000}"/>
    <hyperlink ref="A60" r:id="rId4" xr:uid="{00000000-0004-0000-0700-000003000000}"/>
    <hyperlink ref="A61" r:id="rId5" xr:uid="{00000000-0004-0000-0700-000004000000}"/>
    <hyperlink ref="A58" r:id="rId6" xr:uid="{00000000-0004-0000-0700-000005000000}"/>
    <hyperlink ref="A12" r:id="rId7" xr:uid="{00000000-0004-0000-0700-000006000000}"/>
    <hyperlink ref="A68" r:id="rId8" xr:uid="{00000000-0004-0000-0700-000007000000}"/>
    <hyperlink ref="A73" r:id="rId9" xr:uid="{00000000-0004-0000-0700-000008000000}"/>
    <hyperlink ref="A64" r:id="rId10" xr:uid="{00000000-0004-0000-0700-000009000000}"/>
    <hyperlink ref="A48" r:id="rId11" xr:uid="{00000000-0004-0000-0700-00000A000000}"/>
    <hyperlink ref="A72" r:id="rId12" xr:uid="{00000000-0004-0000-0700-00000B000000}"/>
    <hyperlink ref="A15" r:id="rId13" xr:uid="{00000000-0004-0000-0700-00000C000000}"/>
    <hyperlink ref="A28" r:id="rId14" xr:uid="{00000000-0004-0000-0700-00000D000000}"/>
    <hyperlink ref="A35" r:id="rId15" xr:uid="{00000000-0004-0000-0700-00000E000000}"/>
    <hyperlink ref="A16" r:id="rId16" xr:uid="{00000000-0004-0000-0700-00000F000000}"/>
    <hyperlink ref="A36" r:id="rId17" xr:uid="{00000000-0004-0000-0700-000010000000}"/>
    <hyperlink ref="A44" r:id="rId18" xr:uid="{00000000-0004-0000-0700-000011000000}"/>
    <hyperlink ref="A70" r:id="rId19" xr:uid="{00000000-0004-0000-0700-000012000000}"/>
    <hyperlink ref="A17" r:id="rId20" xr:uid="{00000000-0004-0000-0700-000013000000}"/>
    <hyperlink ref="A29" r:id="rId21" xr:uid="{00000000-0004-0000-0700-000014000000}"/>
    <hyperlink ref="A37" r:id="rId22" xr:uid="{00000000-0004-0000-0700-000015000000}"/>
    <hyperlink ref="A25" r:id="rId23" xr:uid="{00000000-0004-0000-0700-000016000000}"/>
    <hyperlink ref="A43" r:id="rId24" display="mailto:kiki.tipunch@wanadoo.fr" xr:uid="{00000000-0004-0000-0700-000017000000}"/>
    <hyperlink ref="A54" r:id="rId25" xr:uid="{00000000-0004-0000-0700-000018000000}"/>
    <hyperlink ref="A24" r:id="rId26" xr:uid="{00000000-0004-0000-0700-000019000000}"/>
    <hyperlink ref="A34" r:id="rId27" xr:uid="{00000000-0004-0000-0700-00001A000000}"/>
    <hyperlink ref="A31" r:id="rId28" xr:uid="{00000000-0004-0000-0700-00001B000000}"/>
    <hyperlink ref="A6" r:id="rId29" xr:uid="{00000000-0004-0000-0700-00001C000000}"/>
    <hyperlink ref="A55" r:id="rId30" xr:uid="{00000000-0004-0000-0700-00001D000000}"/>
    <hyperlink ref="A13" r:id="rId31" xr:uid="{00000000-0004-0000-0700-00001E000000}"/>
    <hyperlink ref="A32" r:id="rId32" xr:uid="{00000000-0004-0000-0700-00001F000000}"/>
    <hyperlink ref="A26" r:id="rId33" xr:uid="{00000000-0004-0000-0700-000020000000}"/>
    <hyperlink ref="A56" r:id="rId34" xr:uid="{00000000-0004-0000-0700-000021000000}"/>
    <hyperlink ref="A42" r:id="rId35" xr:uid="{00000000-0004-0000-0700-000022000000}"/>
    <hyperlink ref="A46" r:id="rId36" xr:uid="{00000000-0004-0000-0700-000023000000}"/>
    <hyperlink ref="A67" r:id="rId37" xr:uid="{00000000-0004-0000-0700-000024000000}"/>
    <hyperlink ref="A39" r:id="rId38" xr:uid="{00000000-0004-0000-0700-000025000000}"/>
    <hyperlink ref="A8" r:id="rId39" xr:uid="{00000000-0004-0000-0700-000026000000}"/>
    <hyperlink ref="A76" r:id="rId40" xr:uid="{00000000-0004-0000-0700-000027000000}"/>
    <hyperlink ref="A53" r:id="rId41" xr:uid="{00000000-0004-0000-0700-000028000000}"/>
    <hyperlink ref="A52" r:id="rId42" xr:uid="{00000000-0004-0000-0700-000029000000}"/>
    <hyperlink ref="A62" r:id="rId43" xr:uid="{00000000-0004-0000-0700-00002A000000}"/>
    <hyperlink ref="A74" r:id="rId44" xr:uid="{00000000-0004-0000-0700-00002B000000}"/>
    <hyperlink ref="A14" r:id="rId45" xr:uid="{00000000-0004-0000-0700-00002C000000}"/>
    <hyperlink ref="A18" r:id="rId46" xr:uid="{00000000-0004-0000-0700-00002D000000}"/>
    <hyperlink ref="A71" r:id="rId47" xr:uid="{00000000-0004-0000-0700-00002E000000}"/>
    <hyperlink ref="A33" r:id="rId48" xr:uid="{00000000-0004-0000-0700-00002F000000}"/>
    <hyperlink ref="A5" r:id="rId49" xr:uid="{00000000-0004-0000-0700-000030000000}"/>
    <hyperlink ref="A47" r:id="rId50" xr:uid="{00000000-0004-0000-0700-000031000000}"/>
    <hyperlink ref="A57" r:id="rId51" xr:uid="{00000000-0004-0000-0700-000032000000}"/>
    <hyperlink ref="A2" r:id="rId52" xr:uid="{00000000-0004-0000-0700-000033000000}"/>
    <hyperlink ref="A66" r:id="rId53" xr:uid="{00000000-0004-0000-0700-000034000000}"/>
    <hyperlink ref="A65" r:id="rId54" xr:uid="{00000000-0004-0000-0700-000035000000}"/>
    <hyperlink ref="A23" r:id="rId55" display="duchenenicola@yahoo.fr " xr:uid="{00000000-0004-0000-0700-000036000000}"/>
    <hyperlink ref="A21" r:id="rId56" xr:uid="{00000000-0004-0000-0700-000037000000}"/>
    <hyperlink ref="A19" r:id="rId57" xr:uid="{00000000-0004-0000-0700-000038000000}"/>
    <hyperlink ref="G55" r:id="rId58" xr:uid="{00000000-0004-0000-0700-000039000000}"/>
    <hyperlink ref="G72" r:id="rId59" xr:uid="{00000000-0004-0000-0700-00003A000000}"/>
    <hyperlink ref="G7" r:id="rId60" xr:uid="{00000000-0004-0000-0700-00003B000000}"/>
    <hyperlink ref="G6" r:id="rId61" xr:uid="{00000000-0004-0000-0700-00003C000000}"/>
    <hyperlink ref="G39" r:id="rId62" xr:uid="{00000000-0004-0000-0700-00003D000000}"/>
    <hyperlink ref="G16" r:id="rId63" xr:uid="{00000000-0004-0000-0700-00003E000000}"/>
    <hyperlink ref="G28" r:id="rId64" xr:uid="{00000000-0004-0000-0700-00003F000000}"/>
    <hyperlink ref="G57" r:id="rId65" xr:uid="{00000000-0004-0000-0700-000040000000}"/>
    <hyperlink ref="G13" r:id="rId66" xr:uid="{00000000-0004-0000-0700-000041000000}"/>
    <hyperlink ref="G30" r:id="rId67" xr:uid="{00000000-0004-0000-0700-000042000000}"/>
    <hyperlink ref="G41" r:id="rId68" xr:uid="{00000000-0004-0000-0700-000043000000}"/>
    <hyperlink ref="G51" r:id="rId69" xr:uid="{00000000-0004-0000-0700-000044000000}"/>
    <hyperlink ref="G23" r:id="rId70" xr:uid="{00000000-0004-0000-0700-000045000000}"/>
    <hyperlink ref="G8" r:id="rId71" xr:uid="{00000000-0004-0000-0700-000046000000}"/>
    <hyperlink ref="G43" r:id="rId72" xr:uid="{00000000-0004-0000-0700-000047000000}"/>
    <hyperlink ref="G9" r:id="rId73" xr:uid="{00000000-0004-0000-0700-000048000000}"/>
    <hyperlink ref="G21" r:id="rId74" xr:uid="{00000000-0004-0000-0700-000049000000}"/>
    <hyperlink ref="G2" r:id="rId75" xr:uid="{00000000-0004-0000-0700-00004A000000}"/>
    <hyperlink ref="G38" r:id="rId76" xr:uid="{00000000-0004-0000-0700-00004B000000}"/>
    <hyperlink ref="G47" r:id="rId77" xr:uid="{00000000-0004-0000-0700-00004C000000}"/>
    <hyperlink ref="G67" r:id="rId78" xr:uid="{00000000-0004-0000-0700-00004D000000}"/>
    <hyperlink ref="G33" r:id="rId79" xr:uid="{00000000-0004-0000-0700-00004E000000}"/>
    <hyperlink ref="G19" r:id="rId80" xr:uid="{00000000-0004-0000-0700-00004F000000}"/>
    <hyperlink ref="G27" r:id="rId81" xr:uid="{00000000-0004-0000-0700-000050000000}"/>
    <hyperlink ref="G69" r:id="rId82" xr:uid="{00000000-0004-0000-0700-000051000000}"/>
    <hyperlink ref="G15" r:id="rId83" xr:uid="{00000000-0004-0000-0700-000052000000}"/>
    <hyperlink ref="G3" r:id="rId84" xr:uid="{00000000-0004-0000-0700-000053000000}"/>
    <hyperlink ref="G18" r:id="rId85" xr:uid="{00000000-0004-0000-0700-000054000000}"/>
    <hyperlink ref="G52" r:id="rId86" tooltip="blocked::mailto:praestk@aol.com" display="mailto:praestk@aol.com" xr:uid="{00000000-0004-0000-0700-000055000000}"/>
    <hyperlink ref="G49" r:id="rId87" xr:uid="{00000000-0004-0000-0700-000056000000}"/>
    <hyperlink ref="G56" r:id="rId88" xr:uid="{00000000-0004-0000-0700-000057000000}"/>
    <hyperlink ref="G48" r:id="rId89" xr:uid="{00000000-0004-0000-0700-000058000000}"/>
    <hyperlink ref="G12" r:id="rId90" xr:uid="{00000000-0004-0000-0700-000059000000}"/>
    <hyperlink ref="G63" r:id="rId91" xr:uid="{00000000-0004-0000-0700-00005A000000}"/>
    <hyperlink ref="G35" r:id="rId92" xr:uid="{00000000-0004-0000-0700-00005B000000}"/>
    <hyperlink ref="G37" r:id="rId93" xr:uid="{00000000-0004-0000-0700-00005C000000}"/>
    <hyperlink ref="G66" r:id="rId94" xr:uid="{00000000-0004-0000-0700-00005D000000}"/>
    <hyperlink ref="G62" r:id="rId95" xr:uid="{00000000-0004-0000-0700-00005E000000}"/>
    <hyperlink ref="G36" r:id="rId96" xr:uid="{00000000-0004-0000-0700-00005F000000}"/>
    <hyperlink ref="G59" r:id="rId97" xr:uid="{00000000-0004-0000-0700-000060000000}"/>
    <hyperlink ref="G5" r:id="rId98" xr:uid="{00000000-0004-0000-0700-000061000000}"/>
    <hyperlink ref="G45" r:id="rId99" xr:uid="{00000000-0004-0000-0700-000062000000}"/>
    <hyperlink ref="G34" r:id="rId100" xr:uid="{00000000-0004-0000-0700-000063000000}"/>
    <hyperlink ref="G42" r:id="rId101" xr:uid="{00000000-0004-0000-0700-000064000000}"/>
    <hyperlink ref="G65" r:id="rId102" xr:uid="{00000000-0004-0000-0700-000065000000}"/>
    <hyperlink ref="G50" r:id="rId103" xr:uid="{00000000-0004-0000-0700-000066000000}"/>
    <hyperlink ref="G53" r:id="rId104" xr:uid="{00000000-0004-0000-0700-000067000000}"/>
    <hyperlink ref="G14" r:id="rId105" xr:uid="{00000000-0004-0000-0700-000068000000}"/>
    <hyperlink ref="G4" r:id="rId106" xr:uid="{00000000-0004-0000-0700-000069000000}"/>
    <hyperlink ref="G20" r:id="rId107" xr:uid="{00000000-0004-0000-0700-00006A000000}"/>
    <hyperlink ref="G46" r:id="rId108" xr:uid="{00000000-0004-0000-0700-00006B000000}"/>
    <hyperlink ref="G29" r:id="rId109" xr:uid="{00000000-0004-0000-0700-00006C000000}"/>
    <hyperlink ref="G74" r:id="rId110" xr:uid="{00000000-0004-0000-0700-00006D000000}"/>
    <hyperlink ref="G11" r:id="rId111" xr:uid="{00000000-0004-0000-0700-00006E000000}"/>
    <hyperlink ref="G26" r:id="rId112" xr:uid="{00000000-0004-0000-0700-00006F000000}"/>
    <hyperlink ref="G10" r:id="rId113" xr:uid="{00000000-0004-0000-0700-000070000000}"/>
    <hyperlink ref="G54" r:id="rId114" xr:uid="{00000000-0004-0000-0700-000071000000}"/>
    <hyperlink ref="G17" r:id="rId115" xr:uid="{00000000-0004-0000-0700-000072000000}"/>
    <hyperlink ref="G60" r:id="rId116" display="mailto:sandra@rudelwohl-zach.de" xr:uid="{00000000-0004-0000-0700-000073000000}"/>
    <hyperlink ref="G25" r:id="rId117" xr:uid="{00000000-0004-0000-0700-000074000000}"/>
    <hyperlink ref="G61" r:id="rId118" xr:uid="{00000000-0004-0000-0700-000075000000}"/>
    <hyperlink ref="G68" r:id="rId119" xr:uid="{00000000-0004-0000-0700-000076000000}"/>
  </hyperlinks>
  <pageMargins left="0.7" right="0.7" top="0.75" bottom="0.75" header="0.3" footer="0.3"/>
  <pageSetup paperSize="9" orientation="portrait" verticalDpi="0" r:id="rId12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12ED2-3DDF-4B66-86EA-4D42B8255F7E}">
  <dimension ref="A1:I305"/>
  <sheetViews>
    <sheetView topLeftCell="A160" workbookViewId="0">
      <selection activeCell="E176" sqref="E176"/>
    </sheetView>
  </sheetViews>
  <sheetFormatPr baseColWidth="10" defaultRowHeight="13.2"/>
  <cols>
    <col min="1" max="1" width="30.21875" bestFit="1" customWidth="1"/>
  </cols>
  <sheetData>
    <row r="1" spans="1:9">
      <c r="A1" s="2" t="s">
        <v>2058</v>
      </c>
      <c r="C1" s="371"/>
      <c r="H1" s="371"/>
    </row>
    <row r="2" spans="1:9">
      <c r="A2" s="435" t="s">
        <v>2138</v>
      </c>
      <c r="C2" s="401"/>
      <c r="H2" s="147"/>
      <c r="I2" s="143"/>
    </row>
    <row r="3" spans="1:9">
      <c r="A3" t="s">
        <v>2031</v>
      </c>
      <c r="C3" s="401"/>
      <c r="H3" s="151"/>
      <c r="I3" s="143"/>
    </row>
    <row r="4" spans="1:9">
      <c r="A4" s="435" t="s">
        <v>2158</v>
      </c>
      <c r="C4" s="401"/>
      <c r="H4" s="151"/>
      <c r="I4" s="143"/>
    </row>
    <row r="5" spans="1:9">
      <c r="A5" s="2" t="s">
        <v>2157</v>
      </c>
      <c r="C5" s="401"/>
      <c r="H5" s="151"/>
      <c r="I5" s="143"/>
    </row>
    <row r="6" spans="1:9">
      <c r="A6" s="222"/>
      <c r="C6" s="401"/>
      <c r="H6" s="147"/>
      <c r="I6" s="143"/>
    </row>
    <row r="7" spans="1:9">
      <c r="A7" s="433" t="s">
        <v>2133</v>
      </c>
      <c r="C7" s="401"/>
      <c r="H7" s="147"/>
      <c r="I7" s="143"/>
    </row>
    <row r="8" spans="1:9">
      <c r="A8" s="433" t="s">
        <v>2102</v>
      </c>
      <c r="C8" s="401"/>
      <c r="H8" s="181"/>
      <c r="I8" s="177"/>
    </row>
    <row r="9" spans="1:9">
      <c r="A9" s="433" t="s">
        <v>2129</v>
      </c>
      <c r="C9" s="401"/>
      <c r="H9" s="147"/>
      <c r="I9" s="143"/>
    </row>
    <row r="10" spans="1:9">
      <c r="A10" s="433" t="s">
        <v>2105</v>
      </c>
      <c r="C10" s="401"/>
      <c r="H10" s="147"/>
      <c r="I10" s="143"/>
    </row>
    <row r="11" spans="1:9">
      <c r="A11" s="435" t="s">
        <v>2174</v>
      </c>
      <c r="C11" s="401"/>
      <c r="H11" s="147"/>
      <c r="I11" s="143"/>
    </row>
    <row r="12" spans="1:9">
      <c r="A12" s="2" t="s">
        <v>2040</v>
      </c>
      <c r="C12" s="401"/>
      <c r="H12" s="147"/>
      <c r="I12" s="143"/>
    </row>
    <row r="13" spans="1:9">
      <c r="A13" s="433" t="s">
        <v>2112</v>
      </c>
      <c r="C13" s="401"/>
      <c r="H13" s="147"/>
      <c r="I13" s="143"/>
    </row>
    <row r="14" spans="1:9">
      <c r="A14" s="433" t="s">
        <v>2123</v>
      </c>
      <c r="C14" s="401"/>
      <c r="H14" s="151"/>
      <c r="I14" s="143"/>
    </row>
    <row r="15" spans="1:9">
      <c r="A15" s="194" t="s">
        <v>1737</v>
      </c>
      <c r="C15" s="401"/>
      <c r="H15" s="151"/>
      <c r="I15" s="143"/>
    </row>
    <row r="16" spans="1:9">
      <c r="A16" s="2" t="s">
        <v>2063</v>
      </c>
      <c r="C16" s="401"/>
      <c r="H16" s="151"/>
      <c r="I16" s="143"/>
    </row>
    <row r="17" spans="1:9">
      <c r="A17" s="2" t="s">
        <v>2049</v>
      </c>
      <c r="C17" s="401"/>
      <c r="H17" s="147"/>
      <c r="I17" s="143"/>
    </row>
    <row r="18" spans="1:9">
      <c r="A18" s="433" t="s">
        <v>2103</v>
      </c>
      <c r="C18" s="401"/>
      <c r="H18" s="147"/>
      <c r="I18" s="143"/>
    </row>
    <row r="19" spans="1:9">
      <c r="A19" s="222"/>
      <c r="C19" s="401"/>
      <c r="H19" s="147"/>
      <c r="I19" s="143"/>
    </row>
    <row r="20" spans="1:9">
      <c r="A20" s="433" t="s">
        <v>2116</v>
      </c>
      <c r="C20" s="401"/>
      <c r="H20" s="147"/>
      <c r="I20" s="143"/>
    </row>
    <row r="21" spans="1:9">
      <c r="A21" s="2" t="s">
        <v>2057</v>
      </c>
      <c r="C21" s="401"/>
      <c r="H21" s="222"/>
      <c r="I21" s="219"/>
    </row>
    <row r="22" spans="1:9">
      <c r="A22" s="433" t="s">
        <v>2089</v>
      </c>
      <c r="C22" s="401"/>
      <c r="H22" s="228"/>
      <c r="I22" s="225"/>
    </row>
    <row r="23" spans="1:9">
      <c r="A23" s="433" t="s">
        <v>2089</v>
      </c>
      <c r="C23" s="401"/>
      <c r="H23" s="222"/>
      <c r="I23" s="219"/>
    </row>
    <row r="24" spans="1:9">
      <c r="A24" s="2" t="s">
        <v>2072</v>
      </c>
      <c r="C24" s="401"/>
      <c r="H24" s="147"/>
      <c r="I24" s="143"/>
    </row>
    <row r="25" spans="1:9">
      <c r="A25" s="2" t="s">
        <v>2072</v>
      </c>
      <c r="C25" s="401"/>
      <c r="H25" s="147"/>
      <c r="I25" s="143"/>
    </row>
    <row r="26" spans="1:9">
      <c r="A26" s="2" t="s">
        <v>2140</v>
      </c>
      <c r="C26" s="401"/>
      <c r="H26" s="147"/>
      <c r="I26" s="143"/>
    </row>
    <row r="27" spans="1:9">
      <c r="A27" s="2" t="s">
        <v>2039</v>
      </c>
      <c r="C27" s="401"/>
      <c r="H27" s="147"/>
      <c r="I27" s="143"/>
    </row>
    <row r="28" spans="1:9" ht="13.8" thickBot="1">
      <c r="A28" s="433" t="s">
        <v>2173</v>
      </c>
      <c r="C28" s="401"/>
      <c r="H28" s="211"/>
      <c r="I28" s="208"/>
    </row>
    <row r="29" spans="1:9">
      <c r="A29" s="2" t="s">
        <v>2036</v>
      </c>
      <c r="C29" s="401"/>
      <c r="H29" s="147"/>
      <c r="I29" s="143"/>
    </row>
    <row r="30" spans="1:9" ht="13.8" thickBot="1">
      <c r="A30" s="2" t="s">
        <v>2047</v>
      </c>
      <c r="C30" s="401"/>
      <c r="H30" s="147"/>
      <c r="I30" s="143"/>
    </row>
    <row r="31" spans="1:9">
      <c r="A31" s="2" t="s">
        <v>2060</v>
      </c>
      <c r="C31" s="401"/>
      <c r="H31" s="171"/>
      <c r="I31" s="143"/>
    </row>
    <row r="32" spans="1:9">
      <c r="A32" s="2" t="s">
        <v>2151</v>
      </c>
      <c r="C32" s="401"/>
      <c r="H32" s="147"/>
      <c r="I32" s="143"/>
    </row>
    <row r="33" spans="1:9">
      <c r="A33" s="2" t="s">
        <v>2056</v>
      </c>
      <c r="C33" s="401"/>
      <c r="H33" s="147"/>
      <c r="I33" s="143"/>
    </row>
    <row r="34" spans="1:9">
      <c r="A34" s="433" t="s">
        <v>2115</v>
      </c>
      <c r="C34" s="401"/>
      <c r="H34" s="147"/>
      <c r="I34" s="143"/>
    </row>
    <row r="35" spans="1:9">
      <c r="A35" s="2" t="s">
        <v>2071</v>
      </c>
      <c r="C35" s="401"/>
      <c r="H35" s="147"/>
      <c r="I35" s="143"/>
    </row>
    <row r="36" spans="1:9">
      <c r="A36" s="433" t="s">
        <v>2078</v>
      </c>
      <c r="C36" s="401"/>
      <c r="H36" s="147"/>
      <c r="I36" s="143"/>
    </row>
    <row r="37" spans="1:9">
      <c r="A37" s="433" t="s">
        <v>2087</v>
      </c>
      <c r="C37" s="401"/>
      <c r="H37" s="147"/>
      <c r="I37" s="143"/>
    </row>
    <row r="38" spans="1:9">
      <c r="A38" s="2" t="s">
        <v>2045</v>
      </c>
      <c r="C38" s="401"/>
      <c r="H38" s="147"/>
      <c r="I38" s="143"/>
    </row>
    <row r="39" spans="1:9">
      <c r="A39" s="2" t="s">
        <v>2055</v>
      </c>
      <c r="C39" s="401"/>
      <c r="H39" s="147"/>
      <c r="I39" s="143"/>
    </row>
    <row r="40" spans="1:9">
      <c r="A40" s="433" t="s">
        <v>2114</v>
      </c>
      <c r="C40" s="401"/>
      <c r="H40" s="147"/>
      <c r="I40" s="143"/>
    </row>
    <row r="41" spans="1:9">
      <c r="A41" s="435" t="s">
        <v>2164</v>
      </c>
      <c r="C41" s="401"/>
      <c r="H41" s="147"/>
      <c r="I41" s="143"/>
    </row>
    <row r="42" spans="1:9">
      <c r="A42" s="433" t="s">
        <v>2099</v>
      </c>
      <c r="C42" s="401"/>
      <c r="H42" s="147"/>
      <c r="I42" s="143"/>
    </row>
    <row r="43" spans="1:9">
      <c r="A43" s="433" t="s">
        <v>2135</v>
      </c>
      <c r="C43" s="401"/>
      <c r="H43" s="147"/>
      <c r="I43" s="143"/>
    </row>
    <row r="44" spans="1:9">
      <c r="A44" s="2" t="s">
        <v>2068</v>
      </c>
      <c r="C44" s="401"/>
      <c r="H44" s="147"/>
      <c r="I44" s="143"/>
    </row>
    <row r="45" spans="1:9">
      <c r="A45" s="2" t="s">
        <v>2177</v>
      </c>
      <c r="C45" s="401"/>
      <c r="H45" s="147"/>
      <c r="I45" s="143"/>
    </row>
    <row r="46" spans="1:9">
      <c r="A46" s="2" t="s">
        <v>2034</v>
      </c>
      <c r="C46" s="401"/>
      <c r="H46" s="147"/>
      <c r="I46" s="143"/>
    </row>
    <row r="47" spans="1:9">
      <c r="A47" s="435" t="s">
        <v>2170</v>
      </c>
      <c r="C47" s="401"/>
      <c r="H47" s="147"/>
      <c r="I47" s="143"/>
    </row>
    <row r="48" spans="1:9">
      <c r="A48" s="433" t="s">
        <v>2134</v>
      </c>
      <c r="C48" s="401"/>
      <c r="H48" s="147"/>
      <c r="I48" s="143"/>
    </row>
    <row r="49" spans="1:9">
      <c r="A49" s="343"/>
      <c r="C49" s="401"/>
      <c r="H49" s="147"/>
      <c r="I49" s="143"/>
    </row>
    <row r="50" spans="1:9" ht="13.8" thickBot="1">
      <c r="A50" s="2" t="s">
        <v>2061</v>
      </c>
      <c r="C50" s="401"/>
      <c r="H50" s="147"/>
      <c r="I50" s="143"/>
    </row>
    <row r="51" spans="1:9" ht="13.8" thickBot="1">
      <c r="A51" s="437" t="s">
        <v>2131</v>
      </c>
      <c r="C51" s="401"/>
      <c r="H51" s="147"/>
      <c r="I51" s="143"/>
    </row>
    <row r="52" spans="1:9">
      <c r="A52" s="2" t="s">
        <v>2064</v>
      </c>
      <c r="C52" s="401"/>
      <c r="H52" s="147"/>
      <c r="I52" s="143"/>
    </row>
    <row r="53" spans="1:9" ht="13.8" thickBot="1">
      <c r="A53" s="435" t="s">
        <v>2156</v>
      </c>
      <c r="C53" s="401"/>
      <c r="H53" s="253"/>
      <c r="I53" s="143"/>
    </row>
    <row r="54" spans="1:9" ht="13.8" thickBot="1">
      <c r="A54" s="436" t="s">
        <v>2175</v>
      </c>
      <c r="C54" s="401"/>
      <c r="H54" s="274"/>
      <c r="I54" s="271"/>
    </row>
    <row r="55" spans="1:9" ht="13.8" thickBot="1">
      <c r="A55" s="433" t="s">
        <v>2136</v>
      </c>
      <c r="C55" s="401"/>
      <c r="H55" s="430"/>
      <c r="I55" s="143"/>
    </row>
    <row r="56" spans="1:9" ht="13.8" thickBot="1">
      <c r="A56" s="2" t="s">
        <v>2054</v>
      </c>
      <c r="C56" s="401"/>
      <c r="H56" s="253"/>
      <c r="I56" s="143"/>
    </row>
    <row r="57" spans="1:9" ht="13.8" thickBot="1">
      <c r="A57" s="437" t="s">
        <v>2097</v>
      </c>
      <c r="C57" s="401"/>
      <c r="H57" s="253"/>
      <c r="I57" s="143"/>
    </row>
    <row r="58" spans="1:9">
      <c r="A58" s="2" t="s">
        <v>2145</v>
      </c>
      <c r="C58" s="401"/>
      <c r="H58" s="426"/>
      <c r="I58" s="143"/>
    </row>
    <row r="59" spans="1:9">
      <c r="A59" s="433" t="s">
        <v>2128</v>
      </c>
      <c r="C59" s="401"/>
      <c r="H59" s="253"/>
      <c r="I59" s="143"/>
    </row>
    <row r="60" spans="1:9">
      <c r="A60" s="2" t="s">
        <v>2070</v>
      </c>
      <c r="C60" s="401"/>
      <c r="H60" s="253"/>
      <c r="I60" s="143"/>
    </row>
    <row r="61" spans="1:9">
      <c r="A61" s="433" t="s">
        <v>2119</v>
      </c>
      <c r="C61" s="401"/>
      <c r="H61" s="253"/>
      <c r="I61" s="143"/>
    </row>
    <row r="62" spans="1:9">
      <c r="A62" s="435" t="s">
        <v>2154</v>
      </c>
      <c r="C62" s="401"/>
      <c r="H62" s="370"/>
      <c r="I62" s="225"/>
    </row>
    <row r="63" spans="1:9" ht="13.8" thickBot="1">
      <c r="A63" s="433" t="s">
        <v>2168</v>
      </c>
      <c r="C63" s="401"/>
      <c r="H63" s="253"/>
      <c r="I63" s="143"/>
    </row>
    <row r="64" spans="1:9" ht="13.8" thickBot="1">
      <c r="A64" s="437" t="s">
        <v>2079</v>
      </c>
      <c r="C64" s="401"/>
      <c r="H64" s="253"/>
      <c r="I64" s="143"/>
    </row>
    <row r="65" spans="1:9" ht="13.8" thickBot="1">
      <c r="A65" s="436" t="s">
        <v>2065</v>
      </c>
      <c r="C65" s="401"/>
      <c r="H65" s="253"/>
      <c r="I65" s="143"/>
    </row>
    <row r="66" spans="1:9">
      <c r="A66" s="433" t="s">
        <v>2121</v>
      </c>
      <c r="C66" s="401"/>
      <c r="H66" s="294"/>
      <c r="I66" s="291"/>
    </row>
    <row r="67" spans="1:9">
      <c r="A67" s="2" t="s">
        <v>2042</v>
      </c>
      <c r="C67" s="401"/>
      <c r="H67" s="294"/>
      <c r="I67" s="291"/>
    </row>
    <row r="68" spans="1:9" ht="13.8" thickBot="1">
      <c r="A68" s="2" t="s">
        <v>2043</v>
      </c>
      <c r="C68" s="401"/>
      <c r="H68" s="294"/>
      <c r="I68" s="291"/>
    </row>
    <row r="69" spans="1:9" ht="13.8" thickBot="1">
      <c r="A69" s="436" t="s">
        <v>2052</v>
      </c>
      <c r="C69" s="401"/>
      <c r="H69" s="294"/>
      <c r="I69" s="291"/>
    </row>
    <row r="70" spans="1:9" ht="13.8" thickBot="1">
      <c r="A70" s="435" t="s">
        <v>2160</v>
      </c>
      <c r="C70" s="401"/>
      <c r="H70" s="294"/>
      <c r="I70" s="291"/>
    </row>
    <row r="71" spans="1:9" ht="13.8" thickBot="1">
      <c r="A71" s="436" t="s">
        <v>2142</v>
      </c>
      <c r="C71" s="401"/>
      <c r="H71" s="299"/>
      <c r="I71" s="291"/>
    </row>
    <row r="72" spans="1:9" ht="13.8" thickBot="1">
      <c r="A72" s="423" t="s">
        <v>2163</v>
      </c>
      <c r="C72" s="401"/>
      <c r="H72" s="294"/>
      <c r="I72" s="291"/>
    </row>
    <row r="73" spans="1:9" ht="13.8" thickBot="1">
      <c r="A73" s="436" t="s">
        <v>2152</v>
      </c>
      <c r="C73" s="401"/>
      <c r="H73" s="429"/>
      <c r="I73" s="291"/>
    </row>
    <row r="74" spans="1:9" ht="13.8" thickBot="1">
      <c r="A74" s="433" t="s">
        <v>2084</v>
      </c>
      <c r="C74" s="401"/>
      <c r="H74" s="306"/>
      <c r="I74" s="302"/>
    </row>
    <row r="75" spans="1:9" ht="13.8" thickBot="1">
      <c r="A75" s="437" t="s">
        <v>2084</v>
      </c>
      <c r="C75" s="401"/>
      <c r="H75" s="294"/>
      <c r="I75" s="291"/>
    </row>
    <row r="76" spans="1:9" ht="13.8" thickBot="1">
      <c r="A76" s="437" t="s">
        <v>2096</v>
      </c>
      <c r="C76" s="401"/>
      <c r="H76" s="264"/>
      <c r="I76" s="310"/>
    </row>
    <row r="77" spans="1:9" ht="13.8" thickBot="1">
      <c r="A77" s="436" t="s">
        <v>2048</v>
      </c>
      <c r="C77" s="401"/>
      <c r="H77" s="320"/>
      <c r="I77" s="317"/>
    </row>
    <row r="78" spans="1:9" ht="13.8" thickBot="1">
      <c r="A78" s="436" t="s">
        <v>2048</v>
      </c>
      <c r="C78" s="401"/>
      <c r="H78" s="306"/>
      <c r="I78" s="302"/>
    </row>
    <row r="79" spans="1:9" ht="13.8" thickBot="1">
      <c r="A79" s="433" t="s">
        <v>2082</v>
      </c>
      <c r="C79" s="401"/>
      <c r="H79" s="294"/>
      <c r="I79" s="291"/>
    </row>
    <row r="80" spans="1:9" ht="13.8" thickBot="1">
      <c r="A80" s="436" t="s">
        <v>2066</v>
      </c>
      <c r="C80" s="401"/>
      <c r="H80" s="294"/>
      <c r="I80" s="291"/>
    </row>
    <row r="81" spans="1:9" ht="13.8" thickBot="1">
      <c r="A81" s="436" t="s">
        <v>2150</v>
      </c>
      <c r="C81" s="401"/>
      <c r="H81" s="294"/>
      <c r="I81" s="291"/>
    </row>
    <row r="82" spans="1:9" ht="13.8" thickBot="1">
      <c r="A82" s="437" t="s">
        <v>2109</v>
      </c>
      <c r="C82" s="401"/>
      <c r="H82" s="294"/>
      <c r="I82" s="291"/>
    </row>
    <row r="83" spans="1:9" ht="13.8" thickBot="1">
      <c r="A83" s="437" t="s">
        <v>2166</v>
      </c>
      <c r="C83" s="401"/>
      <c r="H83" s="194"/>
      <c r="I83" s="291"/>
    </row>
    <row r="84" spans="1:9" ht="13.8" thickBot="1">
      <c r="A84" s="435" t="s">
        <v>2153</v>
      </c>
      <c r="C84" s="401"/>
      <c r="H84" s="294"/>
      <c r="I84" s="291"/>
    </row>
    <row r="85" spans="1:9" ht="13.8" thickBot="1">
      <c r="A85" s="437" t="s">
        <v>2088</v>
      </c>
      <c r="C85" s="401"/>
      <c r="H85" s="294"/>
      <c r="I85" s="291"/>
    </row>
    <row r="86" spans="1:9">
      <c r="A86" s="433" t="s">
        <v>2127</v>
      </c>
      <c r="C86" s="401"/>
      <c r="H86" s="294"/>
      <c r="I86" s="291"/>
    </row>
    <row r="87" spans="1:9">
      <c r="A87" s="401" t="s">
        <v>1959</v>
      </c>
      <c r="C87" s="401"/>
      <c r="H87" s="294"/>
      <c r="I87" s="291"/>
    </row>
    <row r="88" spans="1:9">
      <c r="A88" s="433" t="s">
        <v>2120</v>
      </c>
      <c r="C88" s="401"/>
      <c r="H88" s="294"/>
      <c r="I88" s="291"/>
    </row>
    <row r="89" spans="1:9">
      <c r="A89" s="433" t="s">
        <v>1967</v>
      </c>
      <c r="C89" s="432"/>
      <c r="H89" s="294"/>
      <c r="I89" s="291"/>
    </row>
    <row r="90" spans="1:9">
      <c r="A90" s="401" t="s">
        <v>1967</v>
      </c>
      <c r="H90" s="343"/>
      <c r="I90" s="310"/>
    </row>
    <row r="91" spans="1:9">
      <c r="A91" s="2" t="s">
        <v>2041</v>
      </c>
      <c r="H91" s="344"/>
      <c r="I91" s="310"/>
    </row>
    <row r="92" spans="1:9">
      <c r="A92" s="2" t="s">
        <v>2028</v>
      </c>
      <c r="H92" s="294"/>
      <c r="I92" s="291"/>
    </row>
    <row r="93" spans="1:9">
      <c r="A93" s="2" t="s">
        <v>2037</v>
      </c>
      <c r="H93" s="294"/>
      <c r="I93" s="291"/>
    </row>
    <row r="94" spans="1:9">
      <c r="A94" s="2" t="s">
        <v>2100</v>
      </c>
      <c r="H94" s="294"/>
      <c r="I94" s="291"/>
    </row>
    <row r="95" spans="1:9">
      <c r="A95" s="433" t="s">
        <v>2100</v>
      </c>
      <c r="H95" s="294"/>
      <c r="I95" s="291"/>
    </row>
    <row r="96" spans="1:9">
      <c r="A96" s="433" t="s">
        <v>1840</v>
      </c>
      <c r="H96" s="294"/>
      <c r="I96" s="291"/>
    </row>
    <row r="97" spans="1:9">
      <c r="A97" s="388"/>
      <c r="H97" s="294"/>
      <c r="I97" s="291"/>
    </row>
    <row r="98" spans="1:9">
      <c r="A98" s="2" t="s">
        <v>2029</v>
      </c>
      <c r="H98" s="128"/>
      <c r="I98" s="115"/>
    </row>
    <row r="99" spans="1:9">
      <c r="A99" s="370"/>
      <c r="H99" s="128"/>
      <c r="I99" s="115"/>
    </row>
    <row r="100" spans="1:9">
      <c r="A100" s="413"/>
      <c r="H100" s="128"/>
      <c r="I100" s="115"/>
    </row>
    <row r="101" spans="1:9">
      <c r="A101" s="2" t="s">
        <v>2033</v>
      </c>
      <c r="H101" s="121"/>
      <c r="I101" s="115"/>
    </row>
    <row r="102" spans="1:9">
      <c r="A102" s="433" t="s">
        <v>2101</v>
      </c>
      <c r="H102" s="128"/>
      <c r="I102" s="115"/>
    </row>
    <row r="103" spans="1:9">
      <c r="A103" s="435" t="s">
        <v>2171</v>
      </c>
      <c r="H103" s="363"/>
      <c r="I103" s="115"/>
    </row>
    <row r="104" spans="1:9">
      <c r="A104" s="433" t="s">
        <v>2077</v>
      </c>
      <c r="H104" s="365"/>
      <c r="I104" s="355"/>
    </row>
    <row r="105" spans="1:9">
      <c r="A105" s="433" t="s">
        <v>2132</v>
      </c>
      <c r="H105" s="128"/>
      <c r="I105" s="115"/>
    </row>
    <row r="106" spans="1:9">
      <c r="A106" s="433" t="s">
        <v>2098</v>
      </c>
      <c r="H106" s="365"/>
      <c r="I106" s="355"/>
    </row>
    <row r="107" spans="1:9">
      <c r="A107" s="2" t="s">
        <v>1981</v>
      </c>
      <c r="H107" s="128"/>
      <c r="I107" s="115"/>
    </row>
    <row r="108" spans="1:9">
      <c r="A108" s="2" t="s">
        <v>2038</v>
      </c>
      <c r="H108" s="365"/>
      <c r="I108" s="355"/>
    </row>
    <row r="109" spans="1:9">
      <c r="A109" s="433" t="s">
        <v>2118</v>
      </c>
      <c r="H109" s="401"/>
      <c r="I109" s="355"/>
    </row>
    <row r="110" spans="1:9">
      <c r="A110" s="433" t="s">
        <v>2075</v>
      </c>
      <c r="H110" s="388"/>
      <c r="I110" s="383"/>
    </row>
    <row r="111" spans="1:9">
      <c r="A111" s="433" t="s">
        <v>2124</v>
      </c>
      <c r="H111" s="413"/>
      <c r="I111" s="408"/>
    </row>
    <row r="112" spans="1:9">
      <c r="A112" s="2" t="s">
        <v>2050</v>
      </c>
      <c r="H112" s="375"/>
      <c r="I112" s="372"/>
    </row>
    <row r="113" spans="1:9">
      <c r="A113" s="2" t="s">
        <v>2035</v>
      </c>
      <c r="H113" s="121"/>
      <c r="I113" s="115"/>
    </row>
    <row r="114" spans="1:9">
      <c r="A114" s="2" t="s">
        <v>2046</v>
      </c>
      <c r="H114" s="401"/>
      <c r="I114" s="355"/>
    </row>
    <row r="115" spans="1:9">
      <c r="A115" s="2" t="s">
        <v>2046</v>
      </c>
      <c r="H115" s="401"/>
      <c r="I115" s="355"/>
    </row>
    <row r="116" spans="1:9">
      <c r="A116" s="274"/>
      <c r="H116" s="401"/>
      <c r="I116" s="355"/>
    </row>
    <row r="117" spans="1:9">
      <c r="A117" s="433" t="s">
        <v>2126</v>
      </c>
      <c r="H117" s="121"/>
      <c r="I117" s="115"/>
    </row>
    <row r="118" spans="1:9">
      <c r="A118" s="433" t="s">
        <v>2092</v>
      </c>
      <c r="H118" s="121"/>
      <c r="I118" s="115"/>
    </row>
    <row r="119" spans="1:9">
      <c r="A119" s="433" t="s">
        <v>2081</v>
      </c>
      <c r="H119" s="121"/>
      <c r="I119" s="115"/>
    </row>
    <row r="120" spans="1:9">
      <c r="A120" s="371" t="s">
        <v>2074</v>
      </c>
      <c r="H120" s="121"/>
      <c r="I120" s="291"/>
    </row>
    <row r="121" spans="1:9">
      <c r="A121" s="433" t="s">
        <v>2085</v>
      </c>
      <c r="H121" s="121"/>
      <c r="I121" s="115"/>
    </row>
    <row r="122" spans="1:9">
      <c r="A122" s="2" t="s">
        <v>2162</v>
      </c>
      <c r="H122" s="156"/>
      <c r="I122" s="139"/>
    </row>
    <row r="123" spans="1:9">
      <c r="A123" s="433" t="s">
        <v>2117</v>
      </c>
      <c r="H123" s="156"/>
      <c r="I123" s="139"/>
    </row>
    <row r="124" spans="1:9">
      <c r="A124" s="433" t="s">
        <v>2091</v>
      </c>
      <c r="H124" s="156"/>
      <c r="I124" s="139"/>
    </row>
    <row r="125" spans="1:9">
      <c r="A125" s="2" t="s">
        <v>2147</v>
      </c>
      <c r="H125" s="156"/>
      <c r="I125" s="139"/>
    </row>
    <row r="126" spans="1:9">
      <c r="A126" s="435" t="s">
        <v>2143</v>
      </c>
      <c r="H126" s="156"/>
      <c r="I126" s="139"/>
    </row>
    <row r="127" spans="1:9">
      <c r="A127" s="2" t="s">
        <v>2069</v>
      </c>
      <c r="H127" s="156"/>
      <c r="I127" s="139"/>
    </row>
    <row r="128" spans="1:9">
      <c r="A128" s="2" t="s">
        <v>2176</v>
      </c>
      <c r="H128" s="156"/>
      <c r="I128" s="139"/>
    </row>
    <row r="129" spans="1:9">
      <c r="A129" s="433" t="s">
        <v>2130</v>
      </c>
      <c r="H129" s="156"/>
      <c r="I129" s="139"/>
    </row>
    <row r="130" spans="1:9">
      <c r="A130" s="433" t="s">
        <v>2090</v>
      </c>
      <c r="H130" s="156"/>
      <c r="I130" s="139"/>
    </row>
    <row r="131" spans="1:9">
      <c r="A131" s="433" t="s">
        <v>1890</v>
      </c>
    </row>
    <row r="132" spans="1:9">
      <c r="A132" t="s">
        <v>2073</v>
      </c>
    </row>
    <row r="133" spans="1:9">
      <c r="A133" s="433" t="s">
        <v>2073</v>
      </c>
    </row>
    <row r="134" spans="1:9">
      <c r="A134" s="2" t="s">
        <v>2059</v>
      </c>
    </row>
    <row r="135" spans="1:9">
      <c r="A135" s="433" t="s">
        <v>2093</v>
      </c>
    </row>
    <row r="136" spans="1:9">
      <c r="A136" s="433" t="s">
        <v>2104</v>
      </c>
    </row>
    <row r="137" spans="1:9">
      <c r="A137" s="435" t="s">
        <v>2155</v>
      </c>
    </row>
    <row r="138" spans="1:9">
      <c r="A138" s="433" t="s">
        <v>2125</v>
      </c>
    </row>
    <row r="139" spans="1:9">
      <c r="A139" s="344"/>
    </row>
    <row r="140" spans="1:9">
      <c r="A140" s="2" t="s">
        <v>2062</v>
      </c>
    </row>
    <row r="141" spans="1:9">
      <c r="A141" t="s">
        <v>2106</v>
      </c>
    </row>
    <row r="142" spans="1:9">
      <c r="A142" s="433" t="s">
        <v>2106</v>
      </c>
    </row>
    <row r="143" spans="1:9">
      <c r="A143" s="306" t="s">
        <v>1615</v>
      </c>
    </row>
    <row r="144" spans="1:9">
      <c r="A144" s="433" t="s">
        <v>2108</v>
      </c>
    </row>
    <row r="145" spans="1:1">
      <c r="A145" s="433" t="s">
        <v>2086</v>
      </c>
    </row>
    <row r="146" spans="1:1">
      <c r="A146" s="2" t="s">
        <v>2053</v>
      </c>
    </row>
    <row r="147" spans="1:1">
      <c r="A147" s="435" t="s">
        <v>2159</v>
      </c>
    </row>
    <row r="148" spans="1:1">
      <c r="A148" s="433" t="s">
        <v>2122</v>
      </c>
    </row>
    <row r="149" spans="1:1">
      <c r="A149" s="2" t="s">
        <v>2032</v>
      </c>
    </row>
    <row r="150" spans="1:1">
      <c r="A150" s="433" t="s">
        <v>2094</v>
      </c>
    </row>
    <row r="151" spans="1:1">
      <c r="A151" s="433" t="s">
        <v>2095</v>
      </c>
    </row>
    <row r="152" spans="1:1">
      <c r="A152" s="2" t="s">
        <v>2144</v>
      </c>
    </row>
    <row r="153" spans="1:1">
      <c r="A153" s="433" t="s">
        <v>2076</v>
      </c>
    </row>
    <row r="154" spans="1:1">
      <c r="A154" s="433" t="s">
        <v>1872</v>
      </c>
    </row>
    <row r="155" spans="1:1">
      <c r="A155" s="365" t="s">
        <v>1872</v>
      </c>
    </row>
    <row r="156" spans="1:1">
      <c r="A156" s="2" t="s">
        <v>2051</v>
      </c>
    </row>
    <row r="157" spans="1:1">
      <c r="A157" s="435" t="s">
        <v>2149</v>
      </c>
    </row>
    <row r="158" spans="1:1">
      <c r="A158" s="433" t="s">
        <v>2080</v>
      </c>
    </row>
    <row r="159" spans="1:1">
      <c r="A159" s="2" t="s">
        <v>2172</v>
      </c>
    </row>
    <row r="160" spans="1:1">
      <c r="A160" s="433" t="s">
        <v>2111</v>
      </c>
    </row>
    <row r="161" spans="1:1">
      <c r="A161" s="433" t="s">
        <v>2113</v>
      </c>
    </row>
    <row r="162" spans="1:1">
      <c r="A162" s="433" t="s">
        <v>2167</v>
      </c>
    </row>
    <row r="163" spans="1:1">
      <c r="A163" s="2" t="s">
        <v>2067</v>
      </c>
    </row>
    <row r="164" spans="1:1">
      <c r="A164" s="433" t="s">
        <v>2107</v>
      </c>
    </row>
    <row r="165" spans="1:1">
      <c r="A165" s="433" t="s">
        <v>2169</v>
      </c>
    </row>
    <row r="166" spans="1:1">
      <c r="A166" s="435" t="s">
        <v>2148</v>
      </c>
    </row>
    <row r="167" spans="1:1">
      <c r="A167" s="2" t="s">
        <v>2030</v>
      </c>
    </row>
    <row r="168" spans="1:1">
      <c r="A168" s="433" t="s">
        <v>2083</v>
      </c>
    </row>
    <row r="169" spans="1:1">
      <c r="A169" s="433" t="s">
        <v>2165</v>
      </c>
    </row>
    <row r="170" spans="1:1">
      <c r="A170" s="2" t="s">
        <v>2044</v>
      </c>
    </row>
    <row r="171" spans="1:1">
      <c r="A171" s="2" t="s">
        <v>2146</v>
      </c>
    </row>
    <row r="172" spans="1:1">
      <c r="A172" s="2" t="s">
        <v>2139</v>
      </c>
    </row>
    <row r="173" spans="1:1">
      <c r="A173" s="435" t="s">
        <v>2161</v>
      </c>
    </row>
    <row r="174" spans="1:1">
      <c r="A174" s="435" t="s">
        <v>2141</v>
      </c>
    </row>
    <row r="175" spans="1:1">
      <c r="A175" s="401" t="s">
        <v>2013</v>
      </c>
    </row>
    <row r="176" spans="1:1">
      <c r="A176" s="228"/>
    </row>
    <row r="177" spans="1:2">
      <c r="A177" s="433"/>
      <c r="B177" s="143"/>
    </row>
    <row r="178" spans="1:2">
      <c r="A178" s="363"/>
      <c r="B178" s="143"/>
    </row>
    <row r="179" spans="1:2">
      <c r="A179" s="294"/>
      <c r="B179" s="143"/>
    </row>
    <row r="180" spans="1:2">
      <c r="A180" s="324"/>
      <c r="B180" s="143"/>
    </row>
    <row r="181" spans="1:2">
      <c r="A181" s="433"/>
      <c r="B181" s="143"/>
    </row>
    <row r="182" spans="1:2">
      <c r="A182" s="128"/>
      <c r="B182" s="143"/>
    </row>
    <row r="183" spans="1:2">
      <c r="A183" s="253"/>
      <c r="B183" s="177"/>
    </row>
    <row r="184" spans="1:2">
      <c r="A184" s="147"/>
      <c r="B184" s="143"/>
    </row>
    <row r="185" spans="1:2">
      <c r="A185" s="147"/>
      <c r="B185" s="143"/>
    </row>
    <row r="186" spans="1:2">
      <c r="A186" s="433"/>
      <c r="B186" s="143"/>
    </row>
    <row r="187" spans="1:2">
      <c r="A187" s="365"/>
      <c r="B187" s="143"/>
    </row>
    <row r="188" spans="1:2">
      <c r="A188" s="151"/>
      <c r="B188" s="143"/>
    </row>
    <row r="189" spans="1:2">
      <c r="A189" s="151"/>
      <c r="B189" s="143"/>
    </row>
    <row r="190" spans="1:2">
      <c r="A190" s="294"/>
      <c r="B190" s="143"/>
    </row>
    <row r="191" spans="1:2">
      <c r="A191" s="294"/>
      <c r="B191" s="143"/>
    </row>
    <row r="192" spans="1:2">
      <c r="A192" s="147"/>
      <c r="B192" s="143"/>
    </row>
    <row r="193" spans="1:2">
      <c r="A193" s="433"/>
      <c r="B193" s="143"/>
    </row>
    <row r="194" spans="1:2">
      <c r="A194" s="128"/>
      <c r="B194" s="143"/>
    </row>
    <row r="195" spans="1:2">
      <c r="A195" s="324"/>
      <c r="B195" s="143"/>
    </row>
    <row r="196" spans="1:2">
      <c r="A196" s="2"/>
      <c r="B196" s="219"/>
    </row>
    <row r="197" spans="1:2">
      <c r="A197" s="147"/>
      <c r="B197" s="225"/>
    </row>
    <row r="198" spans="1:2">
      <c r="A198" s="253"/>
      <c r="B198" s="219"/>
    </row>
    <row r="199" spans="1:2">
      <c r="A199" s="121"/>
      <c r="B199" s="143"/>
    </row>
    <row r="200" spans="1:2">
      <c r="A200" s="433"/>
      <c r="B200" s="143"/>
    </row>
    <row r="201" spans="1:2">
      <c r="A201" s="147"/>
      <c r="B201" s="143"/>
    </row>
    <row r="202" spans="1:2">
      <c r="A202" s="147"/>
      <c r="B202" s="143"/>
    </row>
    <row r="203" spans="1:2" ht="13.8" thickBot="1">
      <c r="A203" s="438"/>
      <c r="B203" s="208"/>
    </row>
    <row r="204" spans="1:2">
      <c r="A204" s="121"/>
      <c r="B204" s="143"/>
    </row>
    <row r="205" spans="1:2" ht="13.8" thickBot="1">
      <c r="A205" s="147"/>
      <c r="B205" s="143"/>
    </row>
    <row r="206" spans="1:2">
      <c r="A206" s="171"/>
      <c r="B206" s="143"/>
    </row>
    <row r="207" spans="1:2">
      <c r="A207" s="253"/>
      <c r="B207" s="143"/>
    </row>
    <row r="208" spans="1:2">
      <c r="A208" s="433"/>
      <c r="B208" s="143"/>
    </row>
    <row r="209" spans="1:2">
      <c r="A209" s="294"/>
      <c r="B209" s="143"/>
    </row>
    <row r="210" spans="1:2">
      <c r="A210" s="433"/>
      <c r="B210" s="143"/>
    </row>
    <row r="211" spans="1:2">
      <c r="A211" s="121"/>
      <c r="B211" s="143"/>
    </row>
    <row r="212" spans="1:2">
      <c r="A212" s="294"/>
      <c r="B212" s="143"/>
    </row>
    <row r="213" spans="1:2">
      <c r="A213" s="294"/>
      <c r="B213" s="143"/>
    </row>
    <row r="214" spans="1:2">
      <c r="A214" s="324"/>
      <c r="B214" s="143"/>
    </row>
    <row r="215" spans="1:2">
      <c r="A215" s="147"/>
      <c r="B215" s="143"/>
    </row>
    <row r="216" spans="1:2">
      <c r="A216" s="147"/>
      <c r="B216" s="143"/>
    </row>
    <row r="217" spans="1:2">
      <c r="A217" s="181"/>
      <c r="B217" s="143"/>
    </row>
    <row r="218" spans="1:2">
      <c r="A218" s="294"/>
      <c r="B218" s="143"/>
    </row>
    <row r="219" spans="1:2">
      <c r="A219" s="294"/>
      <c r="B219" s="143"/>
    </row>
    <row r="220" spans="1:2">
      <c r="A220" s="147"/>
      <c r="B220" s="143" t="s">
        <v>1172</v>
      </c>
    </row>
    <row r="221" spans="1:2">
      <c r="A221" s="128"/>
      <c r="B221" s="143"/>
    </row>
    <row r="222" spans="1:2">
      <c r="A222" s="147"/>
      <c r="B222" s="143"/>
    </row>
    <row r="223" spans="1:2">
      <c r="A223" s="294"/>
      <c r="B223" s="143"/>
    </row>
    <row r="224" spans="1:2">
      <c r="A224" s="324"/>
      <c r="B224" s="143"/>
    </row>
    <row r="225" spans="1:2">
      <c r="A225" s="253"/>
      <c r="B225" s="143"/>
    </row>
    <row r="226" spans="1:2">
      <c r="A226" s="128"/>
      <c r="B226" s="143"/>
    </row>
    <row r="227" spans="1:2">
      <c r="A227" s="147"/>
      <c r="B227" s="143"/>
    </row>
    <row r="228" spans="1:2">
      <c r="A228" s="294"/>
      <c r="B228" s="143"/>
    </row>
    <row r="229" spans="1:2">
      <c r="A229" s="147"/>
      <c r="B229" s="271"/>
    </row>
    <row r="230" spans="1:2" ht="13.8" thickBot="1">
      <c r="A230" s="429"/>
      <c r="B230" s="143"/>
    </row>
    <row r="231" spans="1:2">
      <c r="A231" s="433"/>
      <c r="B231" s="143"/>
    </row>
    <row r="232" spans="1:2" ht="13.8" thickBot="1">
      <c r="A232" s="294"/>
      <c r="B232" s="143"/>
    </row>
    <row r="233" spans="1:2">
      <c r="A233" s="171"/>
      <c r="B233" s="143"/>
    </row>
    <row r="234" spans="1:2">
      <c r="A234" s="253"/>
      <c r="B234" s="143"/>
    </row>
    <row r="235" spans="1:2">
      <c r="A235" s="294"/>
      <c r="B235" s="143"/>
    </row>
    <row r="236" spans="1:2">
      <c r="A236" s="147"/>
      <c r="B236" s="143"/>
    </row>
    <row r="237" spans="1:2">
      <c r="A237" s="147"/>
      <c r="B237" s="225"/>
    </row>
    <row r="238" spans="1:2">
      <c r="A238" s="121"/>
      <c r="B238" s="143"/>
    </row>
    <row r="239" spans="1:2">
      <c r="A239" s="121"/>
      <c r="B239" s="143"/>
    </row>
    <row r="240" spans="1:2">
      <c r="A240" s="147"/>
      <c r="B240" s="143"/>
    </row>
    <row r="241" spans="1:2">
      <c r="A241" s="147"/>
      <c r="B241" s="291"/>
    </row>
    <row r="242" spans="1:2">
      <c r="A242" s="324"/>
      <c r="B242" s="291"/>
    </row>
    <row r="243" spans="1:2">
      <c r="A243" s="147"/>
      <c r="B243" s="291"/>
    </row>
    <row r="244" spans="1:2">
      <c r="A244" s="151"/>
      <c r="B244" s="291"/>
    </row>
    <row r="245" spans="1:2">
      <c r="A245" s="433"/>
      <c r="B245" s="291"/>
    </row>
    <row r="246" spans="1:2">
      <c r="A246" s="294"/>
      <c r="B246" s="291"/>
    </row>
    <row r="247" spans="1:2">
      <c r="A247" s="433"/>
      <c r="B247" s="291"/>
    </row>
    <row r="248" spans="1:2" ht="13.8" thickBot="1">
      <c r="A248" s="429"/>
      <c r="B248" s="291"/>
    </row>
    <row r="249" spans="1:2">
      <c r="A249" s="401"/>
      <c r="B249" s="302"/>
    </row>
    <row r="250" spans="1:2">
      <c r="A250" s="294"/>
      <c r="B250" s="291"/>
    </row>
    <row r="251" spans="1:2">
      <c r="A251" s="253"/>
      <c r="B251" s="310"/>
    </row>
    <row r="252" spans="1:2">
      <c r="A252" s="253"/>
      <c r="B252" s="317"/>
    </row>
    <row r="253" spans="1:2">
      <c r="A253" s="128"/>
      <c r="B253" s="302"/>
    </row>
    <row r="254" spans="1:2">
      <c r="A254" s="147"/>
      <c r="B254" s="291"/>
    </row>
    <row r="255" spans="1:2">
      <c r="A255" s="147"/>
      <c r="B255" s="291"/>
    </row>
    <row r="256" spans="1:2">
      <c r="A256" s="324"/>
      <c r="B256" s="291"/>
    </row>
    <row r="257" spans="1:2">
      <c r="A257" s="433"/>
      <c r="B257" s="291"/>
    </row>
    <row r="258" spans="1:2">
      <c r="A258" s="294"/>
      <c r="B258" s="291"/>
    </row>
    <row r="259" spans="1:2">
      <c r="A259" s="147"/>
      <c r="B259" s="291"/>
    </row>
    <row r="260" spans="1:2">
      <c r="A260" s="253"/>
      <c r="B260" s="291"/>
    </row>
    <row r="261" spans="1:2">
      <c r="A261" s="147"/>
      <c r="B261" s="291"/>
    </row>
    <row r="262" spans="1:2">
      <c r="A262" s="324"/>
      <c r="B262" s="291"/>
    </row>
    <row r="263" spans="1:2">
      <c r="A263" s="147"/>
      <c r="B263" s="291"/>
    </row>
    <row r="264" spans="1:2">
      <c r="A264" s="253"/>
      <c r="B264" s="291"/>
    </row>
    <row r="265" spans="1:2">
      <c r="A265" s="294"/>
      <c r="B265" s="310"/>
    </row>
    <row r="266" spans="1:2">
      <c r="A266" s="294"/>
      <c r="B266" s="310"/>
    </row>
    <row r="267" spans="1:2">
      <c r="A267" s="151"/>
      <c r="B267" s="291"/>
    </row>
    <row r="268" spans="1:2">
      <c r="A268" s="147"/>
      <c r="B268" s="291"/>
    </row>
    <row r="269" spans="1:2">
      <c r="A269" s="147"/>
      <c r="B269" s="291"/>
    </row>
    <row r="270" spans="1:2">
      <c r="A270" s="147"/>
      <c r="B270" s="291"/>
    </row>
    <row r="271" spans="1:2">
      <c r="A271" s="294"/>
      <c r="B271" s="291"/>
    </row>
    <row r="272" spans="1:2">
      <c r="A272" s="365"/>
      <c r="B272" s="291"/>
    </row>
    <row r="273" spans="1:2">
      <c r="A273" s="147"/>
      <c r="B273" s="115"/>
    </row>
    <row r="274" spans="1:2">
      <c r="A274" s="121"/>
      <c r="B274" s="115"/>
    </row>
    <row r="275" spans="1:2">
      <c r="A275" s="147"/>
      <c r="B275" s="115"/>
    </row>
    <row r="276" spans="1:2">
      <c r="A276" s="147"/>
      <c r="B276" s="115"/>
    </row>
    <row r="277" spans="1:2">
      <c r="A277" s="433"/>
      <c r="B277" s="115"/>
    </row>
    <row r="278" spans="1:2">
      <c r="A278" s="294"/>
      <c r="B278" s="115"/>
    </row>
    <row r="279" spans="1:2">
      <c r="A279" s="147"/>
      <c r="B279" s="355"/>
    </row>
    <row r="280" spans="1:2">
      <c r="A280" s="253"/>
      <c r="B280" s="115"/>
    </row>
    <row r="281" spans="1:2">
      <c r="A281" s="121"/>
      <c r="B281" s="355"/>
    </row>
    <row r="282" spans="1:2">
      <c r="A282" s="147"/>
      <c r="B282" s="115"/>
    </row>
    <row r="283" spans="1:2">
      <c r="A283" s="147"/>
      <c r="B283" s="355"/>
    </row>
    <row r="284" spans="1:2">
      <c r="A284" s="294"/>
      <c r="B284" s="355"/>
    </row>
    <row r="285" spans="1:2">
      <c r="A285" s="147"/>
      <c r="B285" s="383"/>
    </row>
    <row r="286" spans="1:2">
      <c r="A286" s="433"/>
      <c r="B286" s="408"/>
    </row>
    <row r="287" spans="1:2">
      <c r="A287" s="294"/>
      <c r="B287" s="372"/>
    </row>
    <row r="288" spans="1:2">
      <c r="A288" s="375"/>
      <c r="B288" s="115"/>
    </row>
    <row r="289" spans="1:2">
      <c r="A289" s="299"/>
      <c r="B289" s="355"/>
    </row>
    <row r="290" spans="1:2">
      <c r="A290" s="147"/>
      <c r="B290" s="355"/>
    </row>
    <row r="291" spans="1:2">
      <c r="A291" s="128"/>
      <c r="B291" s="355"/>
    </row>
    <row r="292" spans="1:2">
      <c r="A292" s="151"/>
      <c r="B292" s="115"/>
    </row>
    <row r="293" spans="1:2">
      <c r="A293" s="324"/>
      <c r="B293" s="115"/>
    </row>
    <row r="294" spans="1:2">
      <c r="A294" s="147"/>
      <c r="B294" s="115"/>
    </row>
    <row r="295" spans="1:2">
      <c r="A295" s="253"/>
      <c r="B295" s="291"/>
    </row>
    <row r="296" spans="1:2">
      <c r="A296" s="147"/>
      <c r="B296" s="115"/>
    </row>
    <row r="297" spans="1:2">
      <c r="A297" s="434"/>
      <c r="B297" s="139"/>
    </row>
    <row r="298" spans="1:2">
      <c r="A298" s="151"/>
      <c r="B298" s="139"/>
    </row>
    <row r="299" spans="1:2">
      <c r="A299" s="147"/>
      <c r="B299" s="139"/>
    </row>
    <row r="300" spans="1:2">
      <c r="A300" s="147"/>
      <c r="B300" s="139"/>
    </row>
    <row r="301" spans="1:2">
      <c r="A301" s="147"/>
      <c r="B301" s="139"/>
    </row>
    <row r="302" spans="1:2">
      <c r="A302" s="264"/>
      <c r="B302" s="139"/>
    </row>
    <row r="303" spans="1:2">
      <c r="A303" s="320"/>
      <c r="B303" s="139"/>
    </row>
    <row r="304" spans="1:2">
      <c r="A304" s="306"/>
      <c r="B304" s="139"/>
    </row>
    <row r="305" spans="1:2">
      <c r="A305" s="294"/>
      <c r="B305" s="139"/>
    </row>
  </sheetData>
  <sortState xmlns:xlrd2="http://schemas.microsoft.com/office/spreadsheetml/2017/richdata2" ref="A1:A306">
    <sortCondition ref="A1"/>
  </sortState>
  <hyperlinks>
    <hyperlink ref="A92" r:id="rId1" display="mailto:Marinahoffmann82@aol.com?subject=Ihre%20Anfrage%20auf%20hunde-urlaub.net" xr:uid="{66312061-20FB-4357-8C98-E3B65CE8FB8E}"/>
    <hyperlink ref="A98" r:id="rId2" display="mailto:Martina881979@hotmail.de?subject=Ihre%20Anfrage%20auf%20hunde-urlaub.net" xr:uid="{F47BB4FE-BE8F-46EC-ABB0-CD95A466197B}"/>
    <hyperlink ref="A167" r:id="rId3" display="mailto:Usmotorcycles@web.de?subject=Ihre%20Anfrage%20auf%20hunde-urlaub.net" xr:uid="{0450A799-EDF5-4FC3-B439-D30E2486BB65}"/>
    <hyperlink ref="A149" r:id="rId4" display="mailto:skotschy@aol.com?subject=Ihre%20Anfrage%20über%20hunde-urlaub.net" xr:uid="{E3ADD06B-C172-4901-8BDD-CCF395739B6B}"/>
    <hyperlink ref="A101" r:id="rId5" display="mailto:mechthild-neumueller@web.de?subject=Ihre%20Anfrage%20über%20hunde-urlaub.net" xr:uid="{8CF7EE86-482D-4D39-A80A-7C3D76A237A2}"/>
    <hyperlink ref="A46" r:id="rId6" display="mailto:funandjoy83@googlemail.com?subject=Ihre%20Anfrage%20über%20hunde-urlaub.net" xr:uid="{F2E3238A-6C49-45F2-9C91-44EA718B884A}"/>
    <hyperlink ref="A113" r:id="rId7" display="mailto:nadine.kretz@gmx.de?subject=Ihre%20Anfrage%20über%20hunde-urlaub.net" xr:uid="{0FE45626-39D2-4EA3-8D17-F7F2329A0B43}"/>
    <hyperlink ref="A29" r:id="rId8" display="mailto:bruno.brandl@yahoo.de?subject=Ihre%20Anfrage%20über%20hunde-urlaub.net" xr:uid="{67728E27-652C-4D3F-B1AD-790EBDBF9ABC}"/>
    <hyperlink ref="A93" r:id="rId9" display="mailto:marion.donath@web.de?subject=Ihre%20Anfrage%20über%20hunde-urlaub.net" xr:uid="{15F1D04D-DA5E-462E-B5D3-69D6C82EC325}"/>
    <hyperlink ref="A108" r:id="rId10" display="mailto:mlueck71@gmail.com?subject=Ihre%20Anfrage%20über%20hunde-urlaub.net" xr:uid="{62868A6F-6B8D-4CC5-B471-4585EEE28F66}"/>
    <hyperlink ref="A27" r:id="rId11" display="mailto:brittab6@gmail.com?subject=Ihre%20Anfrage%20über%20hunde-urlaub.net" xr:uid="{1600043D-EEE3-49D2-9210-64E12AAABC3F}"/>
    <hyperlink ref="A12" r:id="rId12" display="mailto:Arancha1209@aol.com?subject=Ihre%20Anfrage%20über%20hunde-urlaub.net" xr:uid="{ACA5C170-C3E7-4204-B6FB-2E8E8573E1E9}"/>
    <hyperlink ref="A91" r:id="rId13" display="mailto:mail@katharinaklimza.de?subject=Ihre%20Anfrage%20über%20hunde-urlaub.net" xr:uid="{7F25215F-405D-4D6F-8A51-93E281600436}"/>
    <hyperlink ref="A67" r:id="rId14" display="mailto:Julia.dose@gmx.de?subject=Ihre%20Anfrage%20über%20hunde-urlaub.net" xr:uid="{B7A7C37B-CC5E-4C19-AF62-9FD08CDA50B0}"/>
    <hyperlink ref="A68" r:id="rId15" display="mailto:k.p.moeller@t-online.de?subject=Ihre%20Anfrage%20über%20hunde-urlaub.net" xr:uid="{F166DD2F-CD20-41CE-A94C-FA88FF978F61}"/>
    <hyperlink ref="A170" r:id="rId16" display="mailto:wickwick@t-online.de?subject=Ihre%20Anfrage%20über%20hunde-urlaub.net" xr:uid="{69E22D1C-6788-4025-886D-93D34D07A72A}"/>
    <hyperlink ref="A38" r:id="rId17" display="mailto:dauphintania@me.com?subject=Ihre%20Anfrage%20über%20hunde-urlaub.net" xr:uid="{0B4916E8-E8D4-4DB5-8545-6A2759F75C9E}"/>
    <hyperlink ref="A114" r:id="rId18" display="mailto:Nadja.kathrin.engel@icloud.com?subject=Ihre%20Anfrage%20über%20hunde-urlaub.net" xr:uid="{A4041FA0-ABBF-4090-AAEA-8A90F565D0A6}"/>
    <hyperlink ref="A30" r:id="rId19" display="mailto:c.najda@t-online.de?subject=Ihre%20Anfrage%20über%20hunde-urlaub.net" xr:uid="{FD131924-E38F-474B-8320-FA35428AA084}"/>
    <hyperlink ref="A115" r:id="rId20" display="mailto:Nadja.kathrin.engel@icloud.com?subject=Ihre%20Anfrage%20über%20hunde-urlaub.net" xr:uid="{64449D3A-F84C-4854-A649-771DD0ADD178}"/>
    <hyperlink ref="A77" r:id="rId21" display="mailto:kieksi77@yahoo.de?subject=Ihre%20Anfrage%20über%20hunde-urlaub.net" xr:uid="{B4BCA75A-EF47-4D5F-BD49-FAA445EF2A1E}"/>
    <hyperlink ref="A17" r:id="rId22" display="mailto:bgm@scheibbs.gv.at?subject=Ihre%20Anfrage%20über%20hunde-urlaub.net" xr:uid="{931BAEE6-6D65-47F0-995E-9EB0A8112633}"/>
    <hyperlink ref="A112" r:id="rId23" display="mailto:Monrade@aol.com?subject=Ihre%20Anfrage%20über%20hunde-urlaub.net" xr:uid="{0607FF89-8218-49B7-BAFD-B51EE1069DAF}"/>
    <hyperlink ref="A156" r:id="rId24" display="mailto:susannefandre@gmx.de?subject=Ihre%20Anfrage%20über%20hunde-urlaub.net" xr:uid="{320FD7F8-3AB7-4D73-B8BC-0CD5222ED0ED}"/>
    <hyperlink ref="A78" r:id="rId25" display="mailto:kieksi77@yahoo.de?subject=Ihre%20Anfrage%20über%20hunde-urlaub.net" xr:uid="{1AF6DA99-FC53-4902-9253-AF0844E9729F}"/>
    <hyperlink ref="A69" r:id="rId26" display="mailto:k.sonnenfeld92@gmail.com?subject=Ihre%20Anfrage%20über%20hunde-urlaub.net" xr:uid="{47382162-74EC-478D-8BB7-E03DDE48951E}"/>
    <hyperlink ref="A146" r:id="rId27" display="mailto:s-dreger@arcor.de?subject=Ihre%20Anfrage%20über%20hunde-urlaub.net" xr:uid="{A2D8B2C8-4396-4543-9BAA-AF121DE5A089}"/>
    <hyperlink ref="A56" r:id="rId28" display="mailto:info@guellergravuren.ch?subject=Ihre%20Anfrage%20über%20hunde-urlaub.net" xr:uid="{83A9156C-6218-4DA0-A1F8-BE694ECF4721}"/>
    <hyperlink ref="A39" r:id="rId29" display="mailto:dietmar_juergens@t-online.de?subject=Ihre%20Anfrage%20über%20hunde-urlaub.net" xr:uid="{5D7B278F-585E-4087-802D-021D3C67997A}"/>
    <hyperlink ref="A33" r:id="rId30" display="mailto:ch.weiler63@web.de?subject=Ihre%20Anfrage%20über%20hunde-urlaub.net" xr:uid="{13CCEC20-C225-4E95-9143-C0912863A19B}"/>
    <hyperlink ref="A107" r:id="rId31" display="mailto:michelle.schneider@ptworldwide.de?subject=Ihre%20Anfrage%20über%20hunde-urlaub.net" xr:uid="{8DE504FC-636A-4447-ADEE-7545AEFC143D}"/>
    <hyperlink ref="A21" r:id="rId32" display="mailto:breel1401@web.de?subject=Ihre%20Anfrage%20über%20hunde-urlaub.net" xr:uid="{DD944331-74A6-4656-ADD6-D4CD3AD4F2B2}"/>
    <hyperlink ref="A1" r:id="rId33" display="mailto:alexandra.unz@gmx.de?subject=Ihre%20Anfrage%20über%20hunde-urlaub.net" xr:uid="{13A19642-3E85-4CF5-8F89-E782152848E3}"/>
    <hyperlink ref="A134" r:id="rId34" display="mailto:s.niess3107@gmail.com?subject=Ihre%20Anfrage%20über%20hunde-urlaub.net" xr:uid="{715F368B-6D4C-409E-B5F5-4CA42B3369ED}"/>
    <hyperlink ref="A31" r:id="rId35" display="mailto:capitainha@t-online.de?subject=Ihre%20Anfrage%20über%20hunde-urlaub.net" xr:uid="{142CAA36-43CB-483D-9205-4D2564E9EAA9}"/>
    <hyperlink ref="A50" r:id="rId36" display="mailto:gregfabi@me.com?subject=Ihre%20Anfrage%20über%20hunde-urlaub.net" xr:uid="{FB737EB9-AB40-4AFD-BFEA-83B1185E0578}"/>
    <hyperlink ref="A140" r:id="rId37" display="mailto:sandy.ramer@gmx.ch?subject=Ihre%20Anfrage%20über%20hunde-urlaub.net" xr:uid="{C16D629B-DE6E-4487-A41D-0404A47DD28F}"/>
    <hyperlink ref="A16" r:id="rId38" display="mailto:B.Winter15@googlemail.com?subject=Ihre%20Anfrage%20über%20hunde-urlaub.net" xr:uid="{5B149EEA-A608-4EE1-A6B6-47B26BB7ECC4}"/>
    <hyperlink ref="A52" r:id="rId39" display="mailto:hein.silke@kabelmail.de?subject=Ihre%20Anfrage%20über%20hunde-urlaub.net" xr:uid="{CCB0800B-DEBB-4045-A789-4FF952D96848}"/>
    <hyperlink ref="A65" r:id="rId40" display="mailto:jgliga123@mailbox.com?subject=Ihre%20Anfrage%20über%20hunde-urlaub.net" xr:uid="{C867120D-17BE-47D1-99CF-3F0B95DBB342}"/>
    <hyperlink ref="A80" r:id="rId41" display="mailto:Kimberley0911@gmail.com?subject=Ihre%20Anfrage%20über%20hunde-urlaub.net" xr:uid="{EAF62156-ED86-4F77-A86F-04888A49CDA4}"/>
    <hyperlink ref="A163" r:id="rId42" display="mailto:u.lawrenz@gmx.de?subject=Ihre%20Anfrage%20über%20hunde-urlaub.net" xr:uid="{34B110AA-0CBF-48D7-8AE1-98A9159FC598}"/>
    <hyperlink ref="A44" r:id="rId43" display="mailto:filjanele@googlemail.com?subject=Ihre%20Anfrage%20über%20hunde-urlaub.net" xr:uid="{1E52D3E9-B5B9-4E5E-87D3-11B6C2136133}"/>
    <hyperlink ref="A127" r:id="rId44" display="mailto:regula.bauriedl@gmx.ch?subject=Ihre%20Anfrage%20über%20hunde-urlaub.net" xr:uid="{92203304-A72B-463D-81F4-A8E020BE9E6C}"/>
    <hyperlink ref="A60" r:id="rId45" display="mailto:j.blienert@kinderheilstaette.de?subject=Ihre%20Anfrage%20über%20hunde-urlaub.net" xr:uid="{3E81344D-67D7-4E3A-80BD-D01355C88AD5}"/>
    <hyperlink ref="A35" r:id="rId46" display="mailto:Christiane.egner@web.de?subject=Ihre%20Anfrage%20über%20hunde-urlaub.net" xr:uid="{B2B0B94B-9F3F-4BED-9057-FCB1532232CE}"/>
    <hyperlink ref="A24" r:id="rId47" display="mailto:brigi212@gmail.com?subject=Ihre%20Anfrage%20über%20hunde-urlaub.net" xr:uid="{91922476-152F-4202-806B-EA71DC98BC13}"/>
    <hyperlink ref="A2" r:id="rId48" xr:uid="{E5C7A231-5A4B-4DB3-8482-15269828D911}"/>
    <hyperlink ref="A172" r:id="rId49" display="mailto:xexaxa@gmx.net?subject=Ihre%20Anfrage%20über%20hunde-urlaub.net" xr:uid="{AD014943-9FBA-41E7-8445-F0F09654DBF8}"/>
    <hyperlink ref="A26" r:id="rId50" display="mailto:Brigitte.vw@bluewin.ch" xr:uid="{F6208CB9-E3CA-4B19-AAF0-C78E09102F3D}"/>
    <hyperlink ref="A174" r:id="rId51" xr:uid="{604F5A12-4013-492E-B121-40CCE979312E}"/>
    <hyperlink ref="A25" r:id="rId52" display="mailto:brigi212@gmail.com" xr:uid="{024E4C58-B1E7-42D6-9667-2AE77A8C0693}"/>
    <hyperlink ref="A71" r:id="rId53" display="mailto:Kati01111980@gmx.de" xr:uid="{0157BC68-2B31-4D75-92D7-82BC76465A71}"/>
    <hyperlink ref="A126" r:id="rId54" xr:uid="{AA4A63E6-A0D1-4AFE-86C8-F4CE69C9BF0B}"/>
    <hyperlink ref="A152" r:id="rId55" display="mailto:steffi.kruppa@arcor.de" xr:uid="{7606FC9C-55CA-4200-AE01-F5930BBF7EEA}"/>
    <hyperlink ref="A58" r:id="rId56" display="mailto:inken_weiss@web.de" xr:uid="{C6604182-BA71-4E91-A016-4F67CAC88D5B}"/>
    <hyperlink ref="A171" r:id="rId57" display="mailto:wpg58@web.de" xr:uid="{65517BB2-DF7D-4F01-B76E-75748DC760FF}"/>
    <hyperlink ref="A94" r:id="rId58" xr:uid="{152F1F5F-6340-4A38-976A-B9389F50C967}"/>
    <hyperlink ref="A125" r:id="rId59" display="mailto:rbodenhausen@gmx.de" xr:uid="{A549B69E-35C7-49D6-814C-8C580C19383B}"/>
    <hyperlink ref="A166" r:id="rId60" xr:uid="{72F65DAF-94A7-4014-832E-462B7838F366}"/>
    <hyperlink ref="A157" r:id="rId61" xr:uid="{4B9A9379-7A0A-4375-A6FA-3D843AA48520}"/>
    <hyperlink ref="A81" r:id="rId62" display="mailto:Kinski-anais@web.de" xr:uid="{0BE68286-C869-4DE2-9436-C0D60BB262AE}"/>
    <hyperlink ref="A73" r:id="rId63" display="mailto:kerstin@barcelona4u.com" xr:uid="{E29DBC87-4BE2-4FFD-9150-8FFAAE689CF7}"/>
    <hyperlink ref="A84" r:id="rId64" xr:uid="{BD2FA5FE-E7A8-406F-92EF-D87F5374A7EF}"/>
    <hyperlink ref="A32" r:id="rId65" display="mailto:carola.klaiber@gmail.com" xr:uid="{91E89292-30AE-41CD-B445-CE76DFB744A5}"/>
    <hyperlink ref="A62" r:id="rId66" xr:uid="{5AC9E0A8-3196-4F80-B151-B6F5AA075A19}"/>
    <hyperlink ref="A137" r:id="rId67" xr:uid="{7FB03897-56A2-4F24-AA99-93513F4CABEB}"/>
    <hyperlink ref="A53" r:id="rId68" xr:uid="{EC72098F-EE00-4381-BD33-C6C4F89B49F4}"/>
    <hyperlink ref="A5" r:id="rId69" display="mailto:andre.katja@googlemail.com" xr:uid="{003D7B29-DBFA-46CF-A204-98BAC86CE134}"/>
    <hyperlink ref="A4" r:id="rId70" xr:uid="{528E3CA2-4A20-4AF9-8E6F-292050E597BB}"/>
    <hyperlink ref="A147" r:id="rId71" xr:uid="{E852C838-77B9-476A-8BB7-A3835C40D341}"/>
    <hyperlink ref="A70" r:id="rId72" xr:uid="{8D22D5A4-C94B-4073-8DBF-8EFAD90CBDCD}"/>
    <hyperlink ref="A173" r:id="rId73" xr:uid="{56C558CD-76B6-4247-8032-6C6A6B10067C}"/>
    <hyperlink ref="A122" r:id="rId74" display="mailto:rakato-arndt@t-online.de" xr:uid="{BA97C2A7-381D-439D-BAB2-83B744182320}"/>
    <hyperlink ref="A72" r:id="rId75" xr:uid="{6C8F5E45-6C11-400E-98AB-7F3104ADA43E}"/>
    <hyperlink ref="A41" r:id="rId76" xr:uid="{BB649FBA-00B0-4255-9C2E-0D2A37E2F2C7}"/>
    <hyperlink ref="A47" r:id="rId77" xr:uid="{0E705E35-E8F7-4326-9D8B-33D9FA32388F}"/>
    <hyperlink ref="A103" r:id="rId78" xr:uid="{BABECC9B-C068-498B-B337-C0F749E8878A}"/>
    <hyperlink ref="A159" r:id="rId79" display="mailto:t.kutzner@t-online.de" xr:uid="{ED8CE906-D70E-47C9-8008-4E6D92BBCA23}"/>
    <hyperlink ref="A11" r:id="rId80" xr:uid="{DDD314B7-F613-449C-B364-9EA3E44463C8}"/>
    <hyperlink ref="A54" r:id="rId81" display="mailto:hillemacher@t-online.de" xr:uid="{7728391F-E73C-4978-A2C4-F45A577C3022}"/>
    <hyperlink ref="A128" r:id="rId82" display="mailto:regula456@gmail.com" xr:uid="{89C8EB73-AC66-4BE2-B9C1-EAF3699B3F45}"/>
    <hyperlink ref="A45" r:id="rId83" display="mailto:fredie1850@gmail.com" xr:uid="{A607F7E9-5B50-4382-BFF0-C83985417C47}"/>
    <hyperlink ref="A110" r:id="rId84" display="mailto:monika.puhe@gmx.de" xr:uid="{ADB6B65A-E52F-47F6-83C3-CB3A7A2DB5E5}"/>
    <hyperlink ref="A153" r:id="rId85" display="mailto:steffi2109@googlemail.com" xr:uid="{298A167D-E8E1-4FE0-8073-4F7A6EFA4A09}"/>
    <hyperlink ref="A104" r:id="rId86" display="mailto:melaniefolta@gmx.de" xr:uid="{6826E87E-17B3-4497-A9BD-56AC701D36E5}"/>
    <hyperlink ref="A36" r:id="rId87" display="mailto:corneliameyerhoff@freenet.de" xr:uid="{2AB54B20-A72D-4FAF-98EA-CA8BA66F2254}"/>
    <hyperlink ref="A64" r:id="rId88" display="mailto:jenniferkelm.91@web.de" xr:uid="{DE151F44-78C6-428B-8B88-A22D50485EF5}"/>
    <hyperlink ref="A158" r:id="rId89" display="mailto:t.gottschlich@gmx.com" xr:uid="{393341C6-E350-4A21-9726-993FA3FF5141}"/>
    <hyperlink ref="A119" r:id="rId90" display="mailto:petra_schindler-wilkins@web.de" xr:uid="{83F031A6-FDAD-44F2-BC43-60F378E2AA27}"/>
    <hyperlink ref="A79" r:id="rId91" display="mailto:kiki@istanders.de" xr:uid="{C4C3491F-0F6D-4189-928C-660E10A9F049}"/>
    <hyperlink ref="A168" r:id="rId92" display="mailto:vera.hoebusch@t-online.de" xr:uid="{8C8D42B1-0941-4B40-8B8C-18FC5447DFCB}"/>
    <hyperlink ref="A74" r:id="rId93" display="mailto:kh9677@gmail.com" xr:uid="{944C91C3-9D79-403F-8A88-CF91D487EFC7}"/>
    <hyperlink ref="A121" r:id="rId94" display="mailto:r.juhra@yahoo.de" xr:uid="{0BE47CD7-5684-4021-9524-DF17AF030384}"/>
    <hyperlink ref="A145" r:id="rId95" display="mailto:Schmid.220575@web.de" xr:uid="{0D4D961C-3A48-4C75-A005-19C700232F31}"/>
    <hyperlink ref="A37" r:id="rId96" display="mailto:d.luwald@web.de" xr:uid="{6E9D0C6E-946F-4466-8DF6-A393C29806B2}"/>
    <hyperlink ref="A85" r:id="rId97" display="mailto:kopp_nicole76@yahoo.de" xr:uid="{8FB4839D-838F-4CAA-B2C6-F1289FD68EC7}"/>
    <hyperlink ref="A89" r:id="rId98" display="mailto:mail@birgithoffmann.com" xr:uid="{2285D107-AB01-4D60-A1CD-12F7C2550277}"/>
    <hyperlink ref="A22" r:id="rId99" display="mailto:brenntano88@gmail.com" xr:uid="{2FA7A654-FDFA-4EF5-AF3F-C5CD90E44CB8}"/>
    <hyperlink ref="A130" r:id="rId100" display="mailto:rocky.caro2015@gmail.de" xr:uid="{ED79E2E1-375D-487C-AE80-8340DEB7FD2C}"/>
    <hyperlink ref="A124" r:id="rId101" xr:uid="{DB254418-476E-4B97-B76B-11DB0E48128B}"/>
    <hyperlink ref="A118" r:id="rId102" display="mailto:patrick.varga1@gmail.com" xr:uid="{5995E88E-5BCA-4C96-AC69-67BCB7F85A16}"/>
    <hyperlink ref="A135" r:id="rId103" display="mailto:sabine.vutirakis@yahoo.com" xr:uid="{CDF0AD4A-7105-4EE0-99D8-0038FE2E8336}"/>
    <hyperlink ref="A150" r:id="rId104" display="mailto:solmersitz@t-online.de" xr:uid="{D171F81A-6888-4317-ADEE-D20DAB070C7E}"/>
    <hyperlink ref="A151" r:id="rId105" display="mailto:stefanie.opitz@gmx.net" xr:uid="{C5F92CBE-6DD4-443A-A98F-C7D721AF1D73}"/>
    <hyperlink ref="A76" r:id="rId106" display="mailto:Kiam73@t-online.de" xr:uid="{CDCA49AD-6717-4D0B-9900-631A0BBC9E10}"/>
    <hyperlink ref="A133" r:id="rId107" display="mailto:s.gieseud.hartung@t-online.de" xr:uid="{A8DF0AC8-EE8F-458F-B554-321F90564456}"/>
    <hyperlink ref="A57" r:id="rId108" display="mailto:ingo@naturheilpraxis-rasch.de" xr:uid="{1713AF1B-0262-4932-8B92-C285053D5342}"/>
    <hyperlink ref="A106" r:id="rId109" display="mailto:michaela.munsch@gmx.de" xr:uid="{B4534693-6B09-4F8D-B754-CC12437B24F7}"/>
    <hyperlink ref="A42" r:id="rId110" display="mailto:dworschak-viktualienmarkt@t-online.de" xr:uid="{A64C9FD9-C692-4A1F-97F6-8B2DB1EC8B8A}"/>
    <hyperlink ref="A131" r:id="rId111" display="mailto:ryser.ittigen@bluewin.ch" xr:uid="{84844956-40C0-40E8-9A4E-459EB644A391}"/>
    <hyperlink ref="A75" r:id="rId112" display="mailto:kh9677@gmail.com" xr:uid="{679B9AF8-4222-4BA0-933A-B49E07B5AA68}"/>
    <hyperlink ref="A154" r:id="rId113" display="mailto:stef-heinrich@web.de" xr:uid="{4DEA3B6F-7314-4EED-8C49-ACAE65CA2C30}"/>
    <hyperlink ref="A95" r:id="rId114" display="mailto:marion.koenig@holzbau-trier.com" xr:uid="{9E00477F-8E9B-4A90-BEED-7E0EFBC7C3DD}"/>
    <hyperlink ref="A102" r:id="rId115" display="mailto:meindl12@t-online.de" xr:uid="{4B4DF9B0-F89D-44F3-8257-AC2BFEA04C59}"/>
    <hyperlink ref="A8" r:id="rId116" display="mailto:angel-roman@gmx.de" xr:uid="{79D0AE8E-94D5-434D-9A73-3832FC75C12A}"/>
    <hyperlink ref="A18" r:id="rId117" display="mailto:biggi.hess@t-online.de" xr:uid="{65F9BBFB-C3AB-4303-8067-1666AE3D2CDA}"/>
    <hyperlink ref="A136" r:id="rId118" display="mailto:sabinec@arcor.de" xr:uid="{82A9B59A-87F0-4DD2-ABD3-987CC82140DB}"/>
    <hyperlink ref="A10" r:id="rId119" display="mailto:anjakuehn1981@live.de" xr:uid="{74724296-F232-4C7D-8231-4ABFEFF55868}"/>
    <hyperlink ref="A142" r:id="rId120" display="mailto:saschafrank83@gmx.de" xr:uid="{D40D6057-C7B9-42F7-A97D-FD5D0A32A902}"/>
    <hyperlink ref="A96" r:id="rId121" display="mailto:markuspalm@hotmail.de" xr:uid="{926262FC-51C5-4908-96AD-A22E0582AFB4}"/>
    <hyperlink ref="A164" r:id="rId122" display="mailto:u.momberg@web.de" xr:uid="{E1B75585-FB39-4464-A241-7611147EE3A2}"/>
    <hyperlink ref="A144" r:id="rId123" display="mailto:Schaub-Diersburg@t-online.de" xr:uid="{27D0215D-1A53-4A20-B13A-FDB252D8654A}"/>
    <hyperlink ref="A23" r:id="rId124" display="mailto:brenntano88@gmail.com" xr:uid="{81435B10-FF17-4B97-B722-1FCA2264548F}"/>
    <hyperlink ref="A82" r:id="rId125" display="mailto:Kirsten.Funck@web.de" xr:uid="{CCB75790-913D-4F91-9E76-25122EC8C8D2}"/>
    <hyperlink ref="A160" r:id="rId126" display="mailto:tabatha.braun@gmx.ch" xr:uid="{989FC161-9489-4CE9-A0C7-DCE3C400B40F}"/>
    <hyperlink ref="A13" r:id="rId127" display="mailto:Arielle071@web.de" xr:uid="{4310BCF4-38EF-4FA4-ADB9-7CA8ECAEC461}"/>
    <hyperlink ref="A161" r:id="rId128" display="mailto:tonygalli@gmx.de" xr:uid="{B3021359-5875-4199-8992-36E8A88454AB}"/>
    <hyperlink ref="A40" r:id="rId129" display="mailto:doro.mertin@gmx.de" xr:uid="{742246EC-898F-40AE-B07E-FE0650BB41B1}"/>
    <hyperlink ref="A20" r:id="rId130" display="mailto:bonny10878@gmx.de" xr:uid="{4BA1BBF4-3BE0-4CAA-8DAC-F6A891A89D24}"/>
    <hyperlink ref="A34" r:id="rId131" display="mailto:charlotte.pascoletti@gmail.com" xr:uid="{BB94952F-4B10-4234-8BF4-BBC280263516}"/>
    <hyperlink ref="A123" r:id="rId132" display="mailto:ralphschindler@gmx.de" xr:uid="{BC0E3E5B-235B-4C4F-9324-82257CE152CD}"/>
    <hyperlink ref="A109" r:id="rId133" display="mailto:monika.kluger@unitybox.de" xr:uid="{B8FA04C1-518B-4380-9DC7-6B1D57A72544}"/>
    <hyperlink ref="A61" r:id="rId134" display="mailto:j.petra@t-online.de" xr:uid="{B1D7FF4E-5236-4956-AC66-0F09539CAB5F}"/>
    <hyperlink ref="A88" r:id="rId135" display="mailto:m.schulli@web.de" xr:uid="{C12FE669-25C5-4264-A9BF-653830EE4526}"/>
    <hyperlink ref="A66" r:id="rId136" display="mailto:jochen.schmitt1974@gmail.com" xr:uid="{B5BBFFD5-084A-42C5-80A9-3A73A69A92D2}"/>
    <hyperlink ref="A148" r:id="rId137" display="mailto:silviavielhauer@airconv.de" xr:uid="{80257940-FF3C-4382-9D84-9B37818F065B}"/>
    <hyperlink ref="A14" r:id="rId138" display="mailto:Arne.Kirchner@ahag-bochum.de" xr:uid="{2CFF0609-E524-4E08-9AC6-D9EA191AC416}"/>
    <hyperlink ref="A111" r:id="rId139" display="mailto:monika-herzig@bluewin.ch" xr:uid="{524B64F3-0D1F-4584-9211-CAAFD7E64424}"/>
    <hyperlink ref="A138" r:id="rId140" display="mailto:sandra.thillmann@gmail.com" xr:uid="{B9A77232-BF6F-4FB0-9192-085A498CBE90}"/>
    <hyperlink ref="A117" r:id="rId141" display="mailto:NikoWalter49@yahoo.de" xr:uid="{0623F318-5F9E-4D9C-937B-F1359FFFDB87}"/>
    <hyperlink ref="A86" r:id="rId142" display="mailto:lotharemmerling@kabelmail.de" xr:uid="{9C51509D-B703-4CD3-942B-87A39C04BDEB}"/>
    <hyperlink ref="A59" r:id="rId143" display="mailto:isabel.boecking@gmx.de" xr:uid="{CF6B8D42-71A9-4B8C-B59B-149A976A9790}"/>
    <hyperlink ref="A9" r:id="rId144" display="mailto:anja.teppler@t-online.de" xr:uid="{466E27EA-352F-4324-9242-F3BF1CF0A33B}"/>
    <hyperlink ref="A129" r:id="rId145" display="mailto:robinschmidtke@gmx.de" xr:uid="{1989C634-BDBA-4BBA-8ACB-7D9103F6738A}"/>
    <hyperlink ref="A51" r:id="rId146" display="mailto:gruenewald.balu@t-online.de" xr:uid="{43D1EED2-4822-46B2-98D0-E61B142956A1}"/>
    <hyperlink ref="A105" r:id="rId147" display="mailto:michael@ib-burkhart.de" xr:uid="{CF7CF812-6497-4253-9135-D4E22DEE1A12}"/>
    <hyperlink ref="A7" r:id="rId148" display="mailto:anette.kaeser@yahoo.com" xr:uid="{8467EAE8-4AF9-491F-8005-FB12A91778F5}"/>
    <hyperlink ref="A48" r:id="rId149" display="mailto:gabiundriva@t-online.de" xr:uid="{85DFEF04-BEAF-4242-BE5B-6B47BE89EC5A}"/>
    <hyperlink ref="A43" r:id="rId150" display="mailto:fanuto@t-online.de" xr:uid="{F87DE0C1-6A75-492C-908E-9A588E8406F2}"/>
    <hyperlink ref="A55" r:id="rId151" display="mailto:info@dogschool.de" xr:uid="{AD9994C5-65B9-4F2A-970D-060C7D99B866}"/>
    <hyperlink ref="A169" r:id="rId152" display="mailto:vivi-andy@gmx.de" xr:uid="{D7CEE7F5-B3ED-4F92-B176-AB6CA34EE539}"/>
    <hyperlink ref="A83" r:id="rId153" display="mailto:Kobras@gmx.net" xr:uid="{BB0EAE46-132C-48F1-A7E2-CAAEEC3CA530}"/>
    <hyperlink ref="A162" r:id="rId154" display="mailto:Trebels@aol.com" xr:uid="{66F47438-EB79-4FC9-A4D2-6F0D0DAB2DA2}"/>
    <hyperlink ref="A63" r:id="rId155" display="mailto:jeannette.hadam@googlemail.com" xr:uid="{4A391C09-8F8B-4FC0-B953-1AEB698E3970}"/>
    <hyperlink ref="A165" r:id="rId156" display="mailto:uli_walzik@hotmail.de" xr:uid="{F15B1894-2A70-40DD-B70D-709C38B16C46}"/>
    <hyperlink ref="A28" r:id="rId157" display="mailto:bruellheidi@gmx.net" xr:uid="{29BAE325-D457-4607-AC9C-71CEFA23FB0C}"/>
    <hyperlink ref="A143" r:id="rId158" xr:uid="{A54D05E7-2AB9-4671-8B69-7FA3AD8B1500}"/>
    <hyperlink ref="A155" r:id="rId159" xr:uid="{D7B6EBF4-0C1C-4569-901A-D8E6F07C6F51}"/>
    <hyperlink ref="A87" r:id="rId160" xr:uid="{1664CAB0-6881-4CEF-A5AD-7193165E0F10}"/>
    <hyperlink ref="A90" r:id="rId161" xr:uid="{4563A239-7ECE-409F-8193-01EA5058AB28}"/>
    <hyperlink ref="A175" r:id="rId162" xr:uid="{FD5AE92D-B4EA-47F6-922B-8786B229566B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AEE1C1-0360-4708-B5F0-45ADA394433F}">
  <dimension ref="A1:A155"/>
  <sheetViews>
    <sheetView workbookViewId="0">
      <selection activeCell="E4" sqref="E4"/>
    </sheetView>
  </sheetViews>
  <sheetFormatPr baseColWidth="10" defaultRowHeight="13.2"/>
  <sheetData>
    <row r="1" spans="1:1">
      <c r="A1" t="s">
        <v>2251</v>
      </c>
    </row>
    <row r="2" spans="1:1">
      <c r="A2" s="294" t="s">
        <v>1607</v>
      </c>
    </row>
    <row r="3" spans="1:1">
      <c r="A3" s="151"/>
    </row>
    <row r="4" spans="1:1">
      <c r="A4" s="147"/>
    </row>
    <row r="5" spans="1:1">
      <c r="A5" s="147" t="s">
        <v>434</v>
      </c>
    </row>
    <row r="6" spans="1:1">
      <c r="A6" s="151" t="s">
        <v>402</v>
      </c>
    </row>
    <row r="7" spans="1:1">
      <c r="A7" s="147" t="s">
        <v>382</v>
      </c>
    </row>
    <row r="8" spans="1:1">
      <c r="A8" s="151"/>
    </row>
    <row r="9" spans="1:1">
      <c r="A9" s="151"/>
    </row>
    <row r="10" spans="1:1">
      <c r="A10" s="147" t="s">
        <v>445</v>
      </c>
    </row>
    <row r="11" spans="1:1">
      <c r="A11" s="147" t="s">
        <v>472</v>
      </c>
    </row>
    <row r="12" spans="1:1">
      <c r="A12" s="147" t="s">
        <v>461</v>
      </c>
    </row>
    <row r="13" spans="1:1">
      <c r="A13" s="147" t="s">
        <v>492</v>
      </c>
    </row>
    <row r="14" spans="1:1">
      <c r="A14" s="147" t="s">
        <v>485</v>
      </c>
    </row>
    <row r="15" spans="1:1">
      <c r="A15" s="147" t="s">
        <v>514</v>
      </c>
    </row>
    <row r="16" spans="1:1">
      <c r="A16" s="147" t="s">
        <v>482</v>
      </c>
    </row>
    <row r="17" spans="1:1">
      <c r="A17" s="147" t="s">
        <v>525</v>
      </c>
    </row>
    <row r="18" spans="1:1">
      <c r="A18" s="147" t="s">
        <v>546</v>
      </c>
    </row>
    <row r="19" spans="1:1">
      <c r="A19" s="147" t="s">
        <v>532</v>
      </c>
    </row>
    <row r="20" spans="1:1">
      <c r="A20" s="147" t="s">
        <v>536</v>
      </c>
    </row>
    <row r="21" spans="1:1">
      <c r="A21" s="147" t="s">
        <v>572</v>
      </c>
    </row>
    <row r="22" spans="1:1">
      <c r="A22" s="147" t="s">
        <v>593</v>
      </c>
    </row>
    <row r="23" spans="1:1">
      <c r="A23" s="147" t="s">
        <v>485</v>
      </c>
    </row>
    <row r="24" spans="1:1">
      <c r="A24" s="151"/>
    </row>
    <row r="25" spans="1:1">
      <c r="A25" s="147" t="s">
        <v>352</v>
      </c>
    </row>
    <row r="26" spans="1:1">
      <c r="A26" s="147" t="s">
        <v>657</v>
      </c>
    </row>
    <row r="27" spans="1:1">
      <c r="A27" s="151" t="s">
        <v>623</v>
      </c>
    </row>
    <row r="28" spans="1:1">
      <c r="A28" s="147" t="s">
        <v>609</v>
      </c>
    </row>
    <row r="29" spans="1:1">
      <c r="A29" s="147" t="s">
        <v>638</v>
      </c>
    </row>
    <row r="30" spans="1:1">
      <c r="A30" s="222" t="s">
        <v>704</v>
      </c>
    </row>
    <row r="31" spans="1:1">
      <c r="A31" s="222" t="s">
        <v>413</v>
      </c>
    </row>
    <row r="32" spans="1:1">
      <c r="A32" s="222" t="s">
        <v>743</v>
      </c>
    </row>
    <row r="33" spans="1:1">
      <c r="A33" s="222" t="s">
        <v>690</v>
      </c>
    </row>
    <row r="34" spans="1:1">
      <c r="A34" s="222" t="s">
        <v>754</v>
      </c>
    </row>
    <row r="35" spans="1:1">
      <c r="A35" s="222" t="s">
        <v>352</v>
      </c>
    </row>
    <row r="36" spans="1:1">
      <c r="A36" s="222" t="s">
        <v>767</v>
      </c>
    </row>
    <row r="37" spans="1:1">
      <c r="A37" s="232"/>
    </row>
    <row r="38" spans="1:1">
      <c r="A38" s="222"/>
    </row>
    <row r="39" spans="1:1">
      <c r="A39" s="147" t="s">
        <v>727</v>
      </c>
    </row>
    <row r="40" spans="1:1">
      <c r="A40" s="147" t="s">
        <v>731</v>
      </c>
    </row>
    <row r="41" spans="1:1">
      <c r="A41" s="147" t="s">
        <v>174</v>
      </c>
    </row>
    <row r="42" spans="1:1">
      <c r="A42" s="147" t="s">
        <v>784</v>
      </c>
    </row>
    <row r="43" spans="1:1">
      <c r="A43" s="228" t="s">
        <v>800</v>
      </c>
    </row>
    <row r="44" spans="1:1">
      <c r="A44" s="147" t="s">
        <v>871</v>
      </c>
    </row>
    <row r="45" spans="1:1">
      <c r="A45" s="156"/>
    </row>
    <row r="46" spans="1:1">
      <c r="A46" s="156"/>
    </row>
    <row r="47" spans="1:1">
      <c r="A47" s="156"/>
    </row>
    <row r="48" spans="1:1">
      <c r="A48" s="156"/>
    </row>
    <row r="49" spans="1:1">
      <c r="A49" s="156"/>
    </row>
    <row r="50" spans="1:1">
      <c r="A50" s="156"/>
    </row>
    <row r="51" spans="1:1">
      <c r="A51" s="156"/>
    </row>
    <row r="52" spans="1:1">
      <c r="A52" s="267"/>
    </row>
    <row r="53" spans="1:1">
      <c r="A53" s="267"/>
    </row>
    <row r="54" spans="1:1">
      <c r="A54" s="156"/>
    </row>
    <row r="55" spans="1:1">
      <c r="A55" s="147" t="s">
        <v>492</v>
      </c>
    </row>
    <row r="56" spans="1:1">
      <c r="A56" s="156"/>
    </row>
    <row r="57" spans="1:1">
      <c r="A57" s="156"/>
    </row>
    <row r="58" spans="1:1">
      <c r="A58" s="156"/>
    </row>
    <row r="59" spans="1:1">
      <c r="A59" s="161"/>
    </row>
    <row r="60" spans="1:1">
      <c r="A60" s="147" t="s">
        <v>928</v>
      </c>
    </row>
    <row r="61" spans="1:1">
      <c r="A61" s="147" t="s">
        <v>825</v>
      </c>
    </row>
    <row r="62" spans="1:1">
      <c r="A62" s="147" t="s">
        <v>852</v>
      </c>
    </row>
    <row r="63" spans="1:1">
      <c r="A63" s="147" t="s">
        <v>990</v>
      </c>
    </row>
    <row r="64" spans="1:1">
      <c r="A64" s="147" t="s">
        <v>485</v>
      </c>
    </row>
    <row r="65" spans="1:1">
      <c r="A65" s="147" t="s">
        <v>1042</v>
      </c>
    </row>
    <row r="66" spans="1:1">
      <c r="A66" s="228" t="s">
        <v>1004</v>
      </c>
    </row>
    <row r="67" spans="1:1">
      <c r="A67" s="147" t="s">
        <v>967</v>
      </c>
    </row>
    <row r="68" spans="1:1">
      <c r="A68" s="228" t="s">
        <v>1034</v>
      </c>
    </row>
    <row r="69" spans="1:1">
      <c r="A69" s="147" t="s">
        <v>1110</v>
      </c>
    </row>
    <row r="70" spans="1:1">
      <c r="A70" s="253" t="s">
        <v>1680</v>
      </c>
    </row>
    <row r="71" spans="1:1">
      <c r="A71" s="147" t="s">
        <v>1068</v>
      </c>
    </row>
    <row r="72" spans="1:1">
      <c r="A72" s="147" t="s">
        <v>1099</v>
      </c>
    </row>
    <row r="73" spans="1:1">
      <c r="A73" s="228" t="s">
        <v>1078</v>
      </c>
    </row>
    <row r="74" spans="1:1">
      <c r="A74" s="147" t="s">
        <v>1096</v>
      </c>
    </row>
    <row r="75" spans="1:1">
      <c r="A75" s="147" t="s">
        <v>1168</v>
      </c>
    </row>
    <row r="76" spans="1:1">
      <c r="A76" s="147"/>
    </row>
    <row r="77" spans="1:1">
      <c r="A77" s="147" t="s">
        <v>1250</v>
      </c>
    </row>
    <row r="78" spans="1:1">
      <c r="A78" s="147" t="s">
        <v>1203</v>
      </c>
    </row>
    <row r="79" spans="1:1">
      <c r="A79" s="147" t="s">
        <v>1292</v>
      </c>
    </row>
    <row r="80" spans="1:1">
      <c r="A80" s="147" t="s">
        <v>1068</v>
      </c>
    </row>
    <row r="81" spans="1:1">
      <c r="A81" s="147" t="s">
        <v>1234</v>
      </c>
    </row>
    <row r="82" spans="1:1">
      <c r="A82" s="253" t="s">
        <v>1402</v>
      </c>
    </row>
    <row r="83" spans="1:1">
      <c r="A83" s="253" t="s">
        <v>1394</v>
      </c>
    </row>
    <row r="84" spans="1:1">
      <c r="A84" s="281" t="s">
        <v>1344</v>
      </c>
    </row>
    <row r="85" spans="1:1">
      <c r="A85" s="253" t="s">
        <v>1342</v>
      </c>
    </row>
    <row r="86" spans="1:1">
      <c r="A86" s="253" t="s">
        <v>1409</v>
      </c>
    </row>
    <row r="87" spans="1:1">
      <c r="A87" s="253" t="s">
        <v>1068</v>
      </c>
    </row>
    <row r="88" spans="1:1">
      <c r="A88" s="253" t="s">
        <v>1360</v>
      </c>
    </row>
    <row r="89" spans="1:1">
      <c r="A89" s="281" t="s">
        <v>1344</v>
      </c>
    </row>
    <row r="90" spans="1:1">
      <c r="A90" s="285" t="s">
        <v>1488</v>
      </c>
    </row>
    <row r="91" spans="1:1">
      <c r="A91" s="253" t="s">
        <v>1541</v>
      </c>
    </row>
    <row r="92" spans="1:1">
      <c r="A92" s="253" t="s">
        <v>1068</v>
      </c>
    </row>
    <row r="93" spans="1:1">
      <c r="A93" s="299" t="s">
        <v>1532</v>
      </c>
    </row>
    <row r="94" spans="1:1">
      <c r="A94" s="294" t="s">
        <v>1572</v>
      </c>
    </row>
    <row r="95" spans="1:1">
      <c r="A95" s="156"/>
    </row>
    <row r="96" spans="1:1">
      <c r="A96" s="156"/>
    </row>
    <row r="97" spans="1:1">
      <c r="A97" s="156"/>
    </row>
    <row r="98" spans="1:1">
      <c r="A98" s="156"/>
    </row>
    <row r="99" spans="1:1">
      <c r="A99" s="156"/>
    </row>
    <row r="100" spans="1:1">
      <c r="A100" s="156"/>
    </row>
    <row r="101" spans="1:1">
      <c r="A101" s="156"/>
    </row>
    <row r="102" spans="1:1">
      <c r="A102" s="156"/>
    </row>
    <row r="103" spans="1:1">
      <c r="A103" s="156"/>
    </row>
    <row r="104" spans="1:1">
      <c r="A104" s="156"/>
    </row>
    <row r="105" spans="1:1">
      <c r="A105" s="156"/>
    </row>
    <row r="106" spans="1:1">
      <c r="A106" s="156"/>
    </row>
    <row r="107" spans="1:1">
      <c r="A107" s="156"/>
    </row>
    <row r="108" spans="1:1">
      <c r="A108" s="267"/>
    </row>
    <row r="109" spans="1:1">
      <c r="A109" s="267"/>
    </row>
    <row r="110" spans="1:1">
      <c r="A110" s="156"/>
    </row>
    <row r="111" spans="1:1">
      <c r="A111" s="156"/>
    </row>
    <row r="112" spans="1:1">
      <c r="A112" s="156"/>
    </row>
    <row r="113" spans="1:1">
      <c r="A113" s="156"/>
    </row>
    <row r="114" spans="1:1">
      <c r="A114" s="156"/>
    </row>
    <row r="115" spans="1:1">
      <c r="A115" s="136"/>
    </row>
    <row r="116" spans="1:1">
      <c r="A116" s="136"/>
    </row>
    <row r="117" spans="1:1">
      <c r="A117" s="324" t="s">
        <v>492</v>
      </c>
    </row>
    <row r="118" spans="1:1">
      <c r="A118" s="328" t="s">
        <v>1629</v>
      </c>
    </row>
    <row r="119" spans="1:1">
      <c r="A119" s="294" t="s">
        <v>1684</v>
      </c>
    </row>
    <row r="120" spans="1:1">
      <c r="A120" s="299" t="s">
        <v>1068</v>
      </c>
    </row>
    <row r="121" spans="1:1">
      <c r="A121" s="324" t="s">
        <v>352</v>
      </c>
    </row>
    <row r="122" spans="1:1">
      <c r="A122" s="294" t="s">
        <v>1727</v>
      </c>
    </row>
    <row r="123" spans="1:1">
      <c r="A123" s="375" t="s">
        <v>1394</v>
      </c>
    </row>
    <row r="124" spans="1:1" ht="13.8" thickBot="1">
      <c r="A124" s="472" t="s">
        <v>1906</v>
      </c>
    </row>
    <row r="125" spans="1:1">
      <c r="A125" s="365" t="s">
        <v>492</v>
      </c>
    </row>
    <row r="126" spans="1:1">
      <c r="A126" s="362" t="s">
        <v>1068</v>
      </c>
    </row>
    <row r="127" spans="1:1">
      <c r="A127" s="365" t="s">
        <v>1890</v>
      </c>
    </row>
    <row r="128" spans="1:1">
      <c r="A128" s="397" t="s">
        <v>1916</v>
      </c>
    </row>
    <row r="129" spans="1:1">
      <c r="A129" s="365" t="s">
        <v>492</v>
      </c>
    </row>
    <row r="130" spans="1:1">
      <c r="A130" s="156" t="s">
        <v>261</v>
      </c>
    </row>
    <row r="131" spans="1:1">
      <c r="A131" s="156" t="s">
        <v>267</v>
      </c>
    </row>
    <row r="132" spans="1:1">
      <c r="A132" s="156" t="s">
        <v>191</v>
      </c>
    </row>
    <row r="133" spans="1:1">
      <c r="A133" s="156" t="s">
        <v>282</v>
      </c>
    </row>
    <row r="134" spans="1:1">
      <c r="A134" s="156" t="s">
        <v>275</v>
      </c>
    </row>
    <row r="135" spans="1:1">
      <c r="A135" s="156"/>
    </row>
    <row r="136" spans="1:1">
      <c r="A136" s="156" t="s">
        <v>359</v>
      </c>
    </row>
    <row r="137" spans="1:1">
      <c r="A137" s="156" t="s">
        <v>352</v>
      </c>
    </row>
    <row r="138" spans="1:1">
      <c r="A138" s="156"/>
    </row>
    <row r="139" spans="1:1">
      <c r="A139" s="156" t="s">
        <v>342</v>
      </c>
    </row>
    <row r="140" spans="1:1">
      <c r="A140" s="156" t="s">
        <v>142</v>
      </c>
    </row>
    <row r="141" spans="1:1">
      <c r="A141" s="156" t="s">
        <v>278</v>
      </c>
    </row>
    <row r="142" spans="1:1">
      <c r="A142" s="156" t="s">
        <v>354</v>
      </c>
    </row>
    <row r="143" spans="1:1">
      <c r="A143" s="156" t="s">
        <v>302</v>
      </c>
    </row>
    <row r="144" spans="1:1">
      <c r="A144" s="156" t="s">
        <v>250</v>
      </c>
    </row>
    <row r="145" spans="1:1">
      <c r="A145" s="147" t="s">
        <v>366</v>
      </c>
    </row>
    <row r="146" spans="1:1">
      <c r="A146" s="147" t="s">
        <v>776</v>
      </c>
    </row>
    <row r="147" spans="1:1">
      <c r="A147" s="147" t="s">
        <v>1226</v>
      </c>
    </row>
    <row r="148" spans="1:1">
      <c r="A148" s="253" t="s">
        <v>1389</v>
      </c>
    </row>
    <row r="149" spans="1:1">
      <c r="A149" s="281" t="s">
        <v>1448</v>
      </c>
    </row>
    <row r="150" spans="1:1">
      <c r="A150" s="253" t="s">
        <v>1431</v>
      </c>
    </row>
    <row r="151" spans="1:1">
      <c r="A151" s="294" t="s">
        <v>1562</v>
      </c>
    </row>
    <row r="152" spans="1:1">
      <c r="A152" s="294" t="s">
        <v>1577</v>
      </c>
    </row>
    <row r="153" spans="1:1">
      <c r="A153" s="401" t="s">
        <v>1562</v>
      </c>
    </row>
    <row r="154" spans="1:1">
      <c r="A154" s="156" t="s">
        <v>285</v>
      </c>
    </row>
    <row r="155" spans="1:1">
      <c r="A155" s="156" t="s">
        <v>262</v>
      </c>
    </row>
  </sheetData>
  <hyperlinks>
    <hyperlink ref="A7" r:id="rId1" xr:uid="{5FC49688-45B6-433C-AEB8-B21F1CB4DD0B}"/>
    <hyperlink ref="A6" r:id="rId2" xr:uid="{4804C1E5-D628-48B8-B2D2-8F65E913C6A7}"/>
    <hyperlink ref="A5" r:id="rId3" xr:uid="{45B852F0-706E-429E-80B5-C072F7DCA970}"/>
    <hyperlink ref="A12" r:id="rId4" xr:uid="{4BD5EE64-5442-4405-A232-D73B6EBEA3B8}"/>
    <hyperlink ref="A14" r:id="rId5" xr:uid="{90C2ADDE-155D-49E0-90B4-CF5A8402D5BE}"/>
    <hyperlink ref="A15" r:id="rId6" xr:uid="{B75F8AF3-EF48-4C0A-A401-32398B3424F5}"/>
    <hyperlink ref="A17" r:id="rId7" xr:uid="{B77AD0D3-7A1A-4BB5-9D5E-345540FEA0B7}"/>
    <hyperlink ref="A19" r:id="rId8" xr:uid="{D5E1ED25-8522-44F4-A7D5-1C5977FB1033}"/>
    <hyperlink ref="A18" r:id="rId9" xr:uid="{4BBC675A-2481-41BE-9EE0-EF85F2FE7C89}"/>
    <hyperlink ref="A21" r:id="rId10" xr:uid="{EA785E84-F4EB-473B-AE18-03AEF1A076E0}"/>
    <hyperlink ref="A25" r:id="rId11" xr:uid="{2EF4BF9B-CD7D-4F9E-954D-715B765249A0}"/>
    <hyperlink ref="A28" r:id="rId12" xr:uid="{04E06B78-2757-4979-83A8-1165BFF90C0B}"/>
    <hyperlink ref="A23" r:id="rId13" xr:uid="{5B6976EF-AA1E-42FF-BB1E-48198F0AD2D7}"/>
    <hyperlink ref="A26" r:id="rId14" xr:uid="{81B63F6A-9DAA-4ECE-B230-9D87317B78A0}"/>
    <hyperlink ref="A29" r:id="rId15" xr:uid="{72E795A0-31E8-4481-ACD9-192E05A2AD93}"/>
    <hyperlink ref="A35" r:id="rId16" xr:uid="{B329CB91-514B-47D7-B584-71D8C2354D5C}"/>
    <hyperlink ref="A33" r:id="rId17" xr:uid="{113C0C63-A25A-40B5-86BB-B800A9D6BCB8}"/>
    <hyperlink ref="A30" r:id="rId18" xr:uid="{C820257B-DF6E-4A3D-80EC-008855EBAA69}"/>
    <hyperlink ref="A40" r:id="rId19" xr:uid="{C29077DE-04D1-4CF2-B23D-ED76F5395F55}"/>
    <hyperlink ref="A32" r:id="rId20" xr:uid="{018C76E4-65E1-484F-9E9A-50EEE37D6271}"/>
    <hyperlink ref="A31" r:id="rId21" xr:uid="{E9727193-3B7B-400D-9A43-609B7EA81E2B}"/>
    <hyperlink ref="A34" r:id="rId22" xr:uid="{69A07EA6-8F51-45CD-AD46-B61D330C8A02}"/>
    <hyperlink ref="A39" r:id="rId23" xr:uid="{798B15CC-A0E9-4852-9454-2D9BF6493F19}"/>
    <hyperlink ref="A42" r:id="rId24" xr:uid="{075B6FD7-8BEC-4F59-B6B6-B021FCCFB79C}"/>
    <hyperlink ref="A41" r:id="rId25" display="mailto:kiki.tipunch@wanadoo.fr" xr:uid="{5BE93C28-75DC-4618-9EB6-5A131F4DE5B2}"/>
    <hyperlink ref="A43" r:id="rId26" xr:uid="{C47905CE-0927-4F61-820B-807D2824F2C6}"/>
    <hyperlink ref="A36" r:id="rId27" xr:uid="{7D2C6AFE-1D9B-4743-88FB-FA259E68486D}"/>
    <hyperlink ref="A61" r:id="rId28" xr:uid="{E6C69125-28F8-4F36-B540-B87FBD650F48}"/>
    <hyperlink ref="A60" r:id="rId29" display="duchenenicola@yahoo.fr " xr:uid="{1595217B-1A1F-4411-ABA1-D565095BFAB1}"/>
    <hyperlink ref="A62" r:id="rId30" xr:uid="{73678EBD-9221-4118-9DCC-27C3A0D822B8}"/>
    <hyperlink ref="A44" r:id="rId31" xr:uid="{3AD90039-D3D4-408E-9E43-0D939A765DDD}"/>
    <hyperlink ref="A146" r:id="rId32" xr:uid="{9E1C490C-3EBB-43CD-87E1-2035BCBA924E}"/>
    <hyperlink ref="A64" r:id="rId33" xr:uid="{E49F76AA-0ADA-434D-8EBA-85DFF28A7EDF}"/>
    <hyperlink ref="A67" r:id="rId34" xr:uid="{AB55BB45-F8BC-4B11-B641-AE8C34D95168}"/>
    <hyperlink ref="A68" r:id="rId35" xr:uid="{C8719287-7563-4D51-B490-52F1F50F7A19}"/>
    <hyperlink ref="A66" r:id="rId36" xr:uid="{584405DC-D177-4057-B294-098A421DE771}"/>
    <hyperlink ref="A65" r:id="rId37" xr:uid="{015D417F-C56E-4F4C-9BF4-5C9D99DC0485}"/>
    <hyperlink ref="A72" r:id="rId38" xr:uid="{69FC639C-5882-4EE5-A45E-235A95CF51DD}"/>
    <hyperlink ref="A73" r:id="rId39" xr:uid="{B69BA57E-3364-427C-A800-B4A2ECF48CFC}"/>
    <hyperlink ref="A69" r:id="rId40" xr:uid="{BBF69E9D-953E-4725-B760-1AF9681BA9D0}"/>
    <hyperlink ref="A70" r:id="rId41" xr:uid="{F2C34FFE-4EA9-4E4E-80C4-149188CB19EC}"/>
    <hyperlink ref="A115" r:id="rId42" display="erwanhubert@free.fr" xr:uid="{8CDD71DB-2311-4398-9E7F-315B61F623C4}"/>
    <hyperlink ref="A147" r:id="rId43" xr:uid="{24B54FEC-CD96-4268-B7A6-2B094CEC64BE}"/>
    <hyperlink ref="A81" r:id="rId44" xr:uid="{5897034E-90BE-4F91-982B-4A1AA8F51911}"/>
    <hyperlink ref="A77" r:id="rId45" xr:uid="{3621DF08-7B08-47FF-98AE-DBD29053DB75}"/>
    <hyperlink ref="A79" r:id="rId46" xr:uid="{C9460B0B-FDEA-44EC-8758-0B113BE24B71}"/>
    <hyperlink ref="A85" r:id="rId47" xr:uid="{DEA0D5C5-80BC-4D00-9B1F-EFF0F445622B}"/>
    <hyperlink ref="A84" r:id="rId48" xr:uid="{C9BFB988-D629-452F-9CB4-0596FA5B2241}"/>
    <hyperlink ref="A88" r:id="rId49" xr:uid="{3BEB7195-4EE1-4A54-A1E3-BC9524B69800}"/>
    <hyperlink ref="A148" r:id="rId50" xr:uid="{844FC2E0-F4C9-496E-9894-5D920E88C336}"/>
    <hyperlink ref="A83" r:id="rId51" xr:uid="{80E21A1C-B6E4-49EA-B72F-4A698246AC38}"/>
    <hyperlink ref="A87" r:id="rId52" xr:uid="{A8BA766D-E09A-4580-A3DC-5B37AD907156}"/>
    <hyperlink ref="A82" r:id="rId53" xr:uid="{2C94E599-179F-4258-843B-8A286F25542F}"/>
    <hyperlink ref="A86" r:id="rId54" xr:uid="{4B567496-22B1-4768-920A-D895BA7D8AA7}"/>
    <hyperlink ref="A150" r:id="rId55" xr:uid="{2909E051-5241-46A6-9254-A70151C4871A}"/>
    <hyperlink ref="A149" r:id="rId56" xr:uid="{85DCD8B8-AE10-4EF7-88AF-46BADA3E81EF}"/>
    <hyperlink ref="A89" r:id="rId57" xr:uid="{D552FAF7-456C-445C-A7A3-0259591A9B79}"/>
    <hyperlink ref="A90" r:id="rId58" xr:uid="{A4217EB5-B281-4296-AE57-02D1024F8DBA}"/>
    <hyperlink ref="A92" r:id="rId59" xr:uid="{35CDB7CF-2ABE-4194-AC77-D7AAB5C0D92B}"/>
    <hyperlink ref="A93" r:id="rId60" xr:uid="{9692F34F-25E1-4FE4-8D1F-386011456491}"/>
    <hyperlink ref="A94" r:id="rId61" xr:uid="{AB544F08-4045-4BC6-9E78-5CE0F114CE3F}"/>
    <hyperlink ref="A143" r:id="rId62" xr:uid="{D525A9EA-DB05-4F25-922D-034F1CA7708B}"/>
    <hyperlink ref="A155" r:id="rId63" xr:uid="{49FC120E-155F-4134-A38A-3B0E7F2760AE}"/>
    <hyperlink ref="A140" r:id="rId64" xr:uid="{DC8A4E2D-A538-4B2D-9764-57F4FDCA324A}"/>
    <hyperlink ref="A144" r:id="rId65" xr:uid="{E4F1C4E3-A5C4-4626-8037-74430BB4819D}"/>
    <hyperlink ref="A152" r:id="rId66" xr:uid="{4F31EC43-8DB6-4C93-8748-A709D76B40F2}"/>
    <hyperlink ref="A120" r:id="rId67" xr:uid="{83130530-EB59-49FE-862A-2FD9152CC1C0}"/>
    <hyperlink ref="A118" r:id="rId68" xr:uid="{E9ED43C4-4F7E-439E-BE93-90F07A07BEB0}"/>
    <hyperlink ref="A121" r:id="rId69" xr:uid="{76250089-A41B-4588-B253-5C8C666D7063}"/>
    <hyperlink ref="A119" r:id="rId70" xr:uid="{C229C809-9DE0-4AF1-A3AB-28A0CF21B851}"/>
    <hyperlink ref="A122" r:id="rId71" xr:uid="{10CD4B2E-764F-4333-A637-39E74863C330}"/>
    <hyperlink ref="A126" r:id="rId72" xr:uid="{1BB8B846-A8D5-4DE0-A07D-ED49B3DC683D}"/>
    <hyperlink ref="A127" r:id="rId73" xr:uid="{62D96208-7121-4BBF-9A48-D0FC20A1CB0E}"/>
    <hyperlink ref="A124" r:id="rId74" xr:uid="{7444B2D8-A524-4BFF-876E-9A4573F2A6CA}"/>
    <hyperlink ref="A123" r:id="rId75" xr:uid="{743056F1-871F-401A-A3E0-B3AFF7B35A69}"/>
    <hyperlink ref="A153" r:id="rId76" xr:uid="{F174D9A9-5DE2-492C-94ED-1A79625EFCA5}"/>
    <hyperlink ref="A132" r:id="rId77" xr:uid="{00995C80-BE99-462B-8B9A-7C568D7743B6}"/>
    <hyperlink ref="A130" r:id="rId78" xr:uid="{9F5311B1-820B-4D61-B9EF-5C86BA03B1C5}"/>
    <hyperlink ref="A137" r:id="rId79" xr:uid="{8015158E-8D0B-4970-97BF-0583C8AC48CC}"/>
    <hyperlink ref="A136" r:id="rId80" xr:uid="{6270D872-0DC2-42EF-8038-BAFEBBA8943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AE2F3-27A9-4196-8F28-A3288F71B085}">
  <dimension ref="A1:M17"/>
  <sheetViews>
    <sheetView workbookViewId="0">
      <selection sqref="A1:XFD1048576"/>
    </sheetView>
  </sheetViews>
  <sheetFormatPr baseColWidth="10" defaultRowHeight="13.2"/>
  <cols>
    <col min="7" max="7" width="13.109375" bestFit="1" customWidth="1"/>
    <col min="8" max="8" width="23" bestFit="1" customWidth="1"/>
    <col min="9" max="9" width="16.33203125" bestFit="1" customWidth="1"/>
    <col min="13" max="13" width="18" bestFit="1" customWidth="1"/>
  </cols>
  <sheetData>
    <row r="1" spans="1:13" s="139" customFormat="1" ht="10.199999999999999">
      <c r="A1" s="480" t="s">
        <v>0</v>
      </c>
      <c r="B1" s="480" t="s">
        <v>1</v>
      </c>
      <c r="C1" s="494" t="s">
        <v>370</v>
      </c>
      <c r="D1" s="481" t="s">
        <v>371</v>
      </c>
      <c r="E1" s="480" t="s">
        <v>5</v>
      </c>
      <c r="F1" s="480" t="s">
        <v>6</v>
      </c>
      <c r="G1" s="480" t="s">
        <v>7</v>
      </c>
      <c r="H1" s="480" t="s">
        <v>21</v>
      </c>
      <c r="I1" s="482" t="s">
        <v>67</v>
      </c>
      <c r="J1" s="483" t="s">
        <v>417</v>
      </c>
      <c r="K1" s="484" t="s">
        <v>416</v>
      </c>
      <c r="L1" s="484" t="s">
        <v>105</v>
      </c>
      <c r="M1" s="480" t="s">
        <v>231</v>
      </c>
    </row>
    <row r="2" spans="1:13">
      <c r="A2" s="485" t="s">
        <v>2279</v>
      </c>
      <c r="B2" s="485" t="s">
        <v>438</v>
      </c>
      <c r="C2" s="479">
        <v>43575</v>
      </c>
      <c r="D2" s="486">
        <v>43582</v>
      </c>
      <c r="E2" s="485" t="s">
        <v>168</v>
      </c>
      <c r="F2" s="485" t="s">
        <v>19</v>
      </c>
      <c r="G2" s="485"/>
      <c r="H2" s="487" t="s">
        <v>2283</v>
      </c>
      <c r="I2" s="485" t="s">
        <v>2285</v>
      </c>
      <c r="J2" s="488">
        <v>1</v>
      </c>
      <c r="K2" s="488">
        <v>4</v>
      </c>
      <c r="L2" s="488">
        <v>1</v>
      </c>
      <c r="M2" s="489">
        <v>390</v>
      </c>
    </row>
    <row r="3" spans="1:13">
      <c r="A3" s="485" t="s">
        <v>527</v>
      </c>
      <c r="B3" s="485" t="s">
        <v>2223</v>
      </c>
      <c r="C3" s="479">
        <v>43582</v>
      </c>
      <c r="D3" s="486">
        <v>43596</v>
      </c>
      <c r="E3" s="485" t="s">
        <v>18</v>
      </c>
      <c r="F3" s="485" t="s">
        <v>1023</v>
      </c>
      <c r="G3" s="485"/>
      <c r="H3" s="487" t="s">
        <v>2227</v>
      </c>
      <c r="I3" s="485" t="s">
        <v>2229</v>
      </c>
      <c r="J3" s="488">
        <v>2</v>
      </c>
      <c r="K3" s="488">
        <v>2</v>
      </c>
      <c r="L3" s="488">
        <v>3</v>
      </c>
      <c r="M3" s="489" t="s">
        <v>1832</v>
      </c>
    </row>
    <row r="4" spans="1:13">
      <c r="A4" s="485" t="s">
        <v>2271</v>
      </c>
      <c r="B4" s="485" t="s">
        <v>2286</v>
      </c>
      <c r="C4" s="479">
        <v>43596</v>
      </c>
      <c r="D4" s="486">
        <v>43603</v>
      </c>
      <c r="E4" s="485" t="s">
        <v>168</v>
      </c>
      <c r="F4" s="485" t="s">
        <v>1023</v>
      </c>
      <c r="G4" s="485" t="s">
        <v>2276</v>
      </c>
      <c r="H4" s="487" t="s">
        <v>2275</v>
      </c>
      <c r="I4" s="485" t="s">
        <v>2278</v>
      </c>
      <c r="J4" s="488">
        <v>1</v>
      </c>
      <c r="K4" s="488">
        <v>3</v>
      </c>
      <c r="L4" s="488">
        <v>2</v>
      </c>
      <c r="M4" s="489" t="s">
        <v>1832</v>
      </c>
    </row>
    <row r="5" spans="1:13">
      <c r="A5" s="485" t="s">
        <v>2254</v>
      </c>
      <c r="B5" s="485" t="s">
        <v>2253</v>
      </c>
      <c r="C5" s="479">
        <v>43603</v>
      </c>
      <c r="D5" s="486">
        <v>43610</v>
      </c>
      <c r="E5" s="485" t="s">
        <v>18</v>
      </c>
      <c r="F5" s="485" t="s">
        <v>19</v>
      </c>
      <c r="G5" s="485"/>
      <c r="H5" s="487" t="s">
        <v>2258</v>
      </c>
      <c r="I5" s="485" t="s">
        <v>2260</v>
      </c>
      <c r="J5" s="488">
        <v>1</v>
      </c>
      <c r="K5" s="488">
        <v>4</v>
      </c>
      <c r="L5" s="488">
        <v>1</v>
      </c>
      <c r="M5" s="489">
        <v>250</v>
      </c>
    </row>
    <row r="6" spans="1:13">
      <c r="A6" s="485" t="s">
        <v>1062</v>
      </c>
      <c r="B6" s="485" t="s">
        <v>1063</v>
      </c>
      <c r="C6" s="479">
        <v>43610</v>
      </c>
      <c r="D6" s="486">
        <v>43617</v>
      </c>
      <c r="E6" s="485" t="s">
        <v>54</v>
      </c>
      <c r="F6" s="485" t="s">
        <v>19</v>
      </c>
      <c r="G6" s="485" t="s">
        <v>1067</v>
      </c>
      <c r="H6" s="485" t="s">
        <v>1066</v>
      </c>
      <c r="I6" s="485" t="s">
        <v>1808</v>
      </c>
      <c r="J6" s="488">
        <v>1</v>
      </c>
      <c r="K6" s="488" t="s">
        <v>1518</v>
      </c>
      <c r="L6" s="488">
        <v>1</v>
      </c>
      <c r="M6" s="489" t="s">
        <v>1832</v>
      </c>
    </row>
    <row r="7" spans="1:13">
      <c r="A7" s="485" t="s">
        <v>1669</v>
      </c>
      <c r="B7" s="485" t="s">
        <v>2201</v>
      </c>
      <c r="C7" s="479">
        <v>43617</v>
      </c>
      <c r="D7" s="486">
        <v>43624</v>
      </c>
      <c r="E7" s="485" t="s">
        <v>18</v>
      </c>
      <c r="F7" s="485" t="s">
        <v>1023</v>
      </c>
      <c r="G7" s="485"/>
      <c r="H7" s="485" t="s">
        <v>2205</v>
      </c>
      <c r="I7" s="485" t="s">
        <v>600</v>
      </c>
      <c r="J7" s="488">
        <v>1</v>
      </c>
      <c r="K7" s="488">
        <v>3</v>
      </c>
      <c r="L7" s="488">
        <v>1</v>
      </c>
      <c r="M7" s="489"/>
    </row>
    <row r="8" spans="1:13">
      <c r="A8" s="485" t="s">
        <v>2026</v>
      </c>
      <c r="B8" s="485" t="s">
        <v>1953</v>
      </c>
      <c r="C8" s="479">
        <v>43624</v>
      </c>
      <c r="D8" s="486">
        <v>43638</v>
      </c>
      <c r="E8" s="485" t="s">
        <v>18</v>
      </c>
      <c r="F8" s="485" t="s">
        <v>1023</v>
      </c>
      <c r="G8" s="485" t="s">
        <v>1957</v>
      </c>
      <c r="H8" s="485" t="s">
        <v>1958</v>
      </c>
      <c r="I8" s="485" t="s">
        <v>599</v>
      </c>
      <c r="J8" s="488">
        <v>2</v>
      </c>
      <c r="K8" s="488">
        <v>2</v>
      </c>
      <c r="L8" s="488">
        <v>2</v>
      </c>
      <c r="M8" s="489" t="s">
        <v>1960</v>
      </c>
    </row>
    <row r="9" spans="1:13">
      <c r="A9" s="485" t="s">
        <v>2232</v>
      </c>
      <c r="B9" s="485" t="s">
        <v>2233</v>
      </c>
      <c r="C9" s="479">
        <v>43638</v>
      </c>
      <c r="D9" s="486">
        <v>43645</v>
      </c>
      <c r="E9" s="485" t="s">
        <v>18</v>
      </c>
      <c r="F9" s="485" t="s">
        <v>1023</v>
      </c>
      <c r="G9" s="485"/>
      <c r="H9" s="490" t="s">
        <v>2237</v>
      </c>
      <c r="I9" s="485">
        <v>1</v>
      </c>
      <c r="J9" s="488">
        <v>1</v>
      </c>
      <c r="K9" s="488">
        <v>2</v>
      </c>
      <c r="L9" s="488">
        <v>1</v>
      </c>
      <c r="M9" s="489" t="s">
        <v>2239</v>
      </c>
    </row>
    <row r="10" spans="1:13">
      <c r="A10" s="485" t="s">
        <v>1937</v>
      </c>
      <c r="B10" s="485" t="s">
        <v>1938</v>
      </c>
      <c r="C10" s="479">
        <v>43645</v>
      </c>
      <c r="D10" s="486">
        <v>43659</v>
      </c>
      <c r="E10" s="491" t="s">
        <v>18</v>
      </c>
      <c r="F10" s="485" t="s">
        <v>51</v>
      </c>
      <c r="G10" s="485"/>
      <c r="H10" s="485" t="s">
        <v>1942</v>
      </c>
      <c r="I10" s="485" t="s">
        <v>599</v>
      </c>
      <c r="J10" s="488">
        <v>2</v>
      </c>
      <c r="K10" s="488" t="s">
        <v>1944</v>
      </c>
      <c r="L10" s="488">
        <v>2</v>
      </c>
      <c r="M10" s="489" t="s">
        <v>2025</v>
      </c>
    </row>
    <row r="11" spans="1:13">
      <c r="A11" s="485" t="s">
        <v>1946</v>
      </c>
      <c r="B11" s="485" t="s">
        <v>1947</v>
      </c>
      <c r="C11" s="479">
        <v>43659</v>
      </c>
      <c r="D11" s="486">
        <v>43673</v>
      </c>
      <c r="E11" s="485" t="s">
        <v>18</v>
      </c>
      <c r="F11" s="485" t="s">
        <v>1023</v>
      </c>
      <c r="G11" s="485"/>
      <c r="H11" s="485" t="s">
        <v>1951</v>
      </c>
      <c r="I11" s="485" t="s">
        <v>600</v>
      </c>
      <c r="J11" s="488">
        <v>2</v>
      </c>
      <c r="K11" s="488">
        <v>6</v>
      </c>
      <c r="L11" s="488">
        <v>1</v>
      </c>
      <c r="M11" s="489">
        <v>995</v>
      </c>
    </row>
    <row r="12" spans="1:13">
      <c r="A12" s="485" t="s">
        <v>1973</v>
      </c>
      <c r="B12" s="485" t="s">
        <v>1972</v>
      </c>
      <c r="C12" s="479">
        <v>43673</v>
      </c>
      <c r="D12" s="486">
        <v>43694</v>
      </c>
      <c r="E12" s="485" t="s">
        <v>168</v>
      </c>
      <c r="F12" s="485" t="s">
        <v>1023</v>
      </c>
      <c r="G12" s="485"/>
      <c r="H12" s="485" t="s">
        <v>1978</v>
      </c>
      <c r="I12" s="485" t="s">
        <v>599</v>
      </c>
      <c r="J12" s="488">
        <v>3</v>
      </c>
      <c r="K12" s="488">
        <v>4</v>
      </c>
      <c r="L12" s="488">
        <v>2</v>
      </c>
      <c r="M12" s="489" t="s">
        <v>2027</v>
      </c>
    </row>
    <row r="13" spans="1:13">
      <c r="A13" s="485" t="s">
        <v>2265</v>
      </c>
      <c r="B13" s="485" t="s">
        <v>2264</v>
      </c>
      <c r="C13" s="479">
        <v>43694</v>
      </c>
      <c r="D13" s="486">
        <v>43708</v>
      </c>
      <c r="E13" s="485" t="s">
        <v>54</v>
      </c>
      <c r="F13" s="485" t="s">
        <v>19</v>
      </c>
      <c r="G13" s="485"/>
      <c r="H13" s="485" t="s">
        <v>2269</v>
      </c>
      <c r="I13" s="485" t="s">
        <v>599</v>
      </c>
      <c r="J13" s="488">
        <v>2</v>
      </c>
      <c r="K13" s="488">
        <v>3</v>
      </c>
      <c r="L13" s="488">
        <v>2</v>
      </c>
      <c r="M13" s="489">
        <v>920</v>
      </c>
    </row>
    <row r="14" spans="1:13">
      <c r="A14" s="485" t="s">
        <v>2016</v>
      </c>
      <c r="B14" s="482" t="s">
        <v>2017</v>
      </c>
      <c r="C14" s="479">
        <v>43715</v>
      </c>
      <c r="D14" s="486">
        <v>43729</v>
      </c>
      <c r="E14" s="485" t="s">
        <v>18</v>
      </c>
      <c r="F14" s="485" t="s">
        <v>1023</v>
      </c>
      <c r="G14" s="482"/>
      <c r="H14" s="485" t="s">
        <v>2021</v>
      </c>
      <c r="I14" s="485" t="s">
        <v>2023</v>
      </c>
      <c r="J14" s="483">
        <v>2</v>
      </c>
      <c r="K14" s="483">
        <v>2</v>
      </c>
      <c r="L14" s="483">
        <v>2</v>
      </c>
      <c r="M14" s="489" t="s">
        <v>2024</v>
      </c>
    </row>
    <row r="15" spans="1:13">
      <c r="A15" s="485" t="s">
        <v>2179</v>
      </c>
      <c r="B15" s="485" t="s">
        <v>2180</v>
      </c>
      <c r="C15" s="479">
        <v>43736</v>
      </c>
      <c r="D15" s="486">
        <v>43743</v>
      </c>
      <c r="E15" s="485" t="s">
        <v>18</v>
      </c>
      <c r="F15" s="485" t="s">
        <v>1023</v>
      </c>
      <c r="G15" s="485"/>
      <c r="H15" s="485" t="s">
        <v>2182</v>
      </c>
      <c r="I15" s="485" t="s">
        <v>2023</v>
      </c>
      <c r="J15" s="488">
        <v>1</v>
      </c>
      <c r="K15" s="488">
        <v>2</v>
      </c>
      <c r="L15" s="488">
        <v>2</v>
      </c>
      <c r="M15" s="489"/>
    </row>
    <row r="16" spans="1:13">
      <c r="A16" s="485" t="s">
        <v>2215</v>
      </c>
      <c r="B16" s="485" t="s">
        <v>2216</v>
      </c>
      <c r="C16" s="479">
        <v>43743</v>
      </c>
      <c r="D16" s="486">
        <v>43750</v>
      </c>
      <c r="E16" s="485" t="s">
        <v>18</v>
      </c>
      <c r="F16" s="485" t="s">
        <v>51</v>
      </c>
      <c r="G16" s="485"/>
      <c r="H16" s="485" t="s">
        <v>2220</v>
      </c>
      <c r="I16" s="485" t="s">
        <v>2222</v>
      </c>
      <c r="J16" s="488">
        <v>1</v>
      </c>
      <c r="K16" s="488">
        <v>6</v>
      </c>
      <c r="L16" s="488">
        <v>2</v>
      </c>
      <c r="M16" s="489"/>
    </row>
    <row r="17" spans="1:13">
      <c r="A17" s="482" t="s">
        <v>527</v>
      </c>
      <c r="B17" s="482" t="s">
        <v>693</v>
      </c>
      <c r="C17" s="493">
        <v>43824</v>
      </c>
      <c r="D17" s="492">
        <v>43475</v>
      </c>
      <c r="E17" s="482" t="s">
        <v>18</v>
      </c>
      <c r="F17" s="482" t="s">
        <v>51</v>
      </c>
      <c r="G17" s="482"/>
      <c r="H17" s="482" t="s">
        <v>1790</v>
      </c>
      <c r="I17" s="485" t="s">
        <v>2252</v>
      </c>
      <c r="J17" s="483">
        <v>2</v>
      </c>
      <c r="K17" s="483">
        <v>2</v>
      </c>
      <c r="L17" s="483">
        <v>1</v>
      </c>
      <c r="M17" s="489" t="s">
        <v>2262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0B044-FE66-4E96-8FEA-4C789FE06464}">
  <dimension ref="A1"/>
  <sheetViews>
    <sheetView workbookViewId="0">
      <selection activeCell="A2" sqref="A2"/>
    </sheetView>
  </sheetViews>
  <sheetFormatPr baseColWidth="10" defaultRowHeight="13.2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6444F-3FE8-4F0D-B1DD-EC348BAC8A08}">
  <dimension ref="A1:M11"/>
  <sheetViews>
    <sheetView workbookViewId="0">
      <selection activeCell="E26" sqref="E26"/>
    </sheetView>
  </sheetViews>
  <sheetFormatPr baseColWidth="10" defaultRowHeight="13.2"/>
  <cols>
    <col min="7" max="7" width="19.44140625" bestFit="1" customWidth="1"/>
    <col min="8" max="8" width="13.77734375" bestFit="1" customWidth="1"/>
    <col min="9" max="9" width="22.33203125" bestFit="1" customWidth="1"/>
  </cols>
  <sheetData>
    <row r="1" spans="1:13">
      <c r="A1" s="9" t="s">
        <v>2240</v>
      </c>
      <c r="B1" s="856"/>
      <c r="C1" s="856"/>
      <c r="D1" s="856"/>
      <c r="E1" s="856"/>
      <c r="F1" s="856"/>
      <c r="G1" s="856"/>
      <c r="H1" s="856"/>
      <c r="I1" s="856"/>
      <c r="J1" s="856"/>
      <c r="K1" s="890"/>
      <c r="L1" s="857"/>
      <c r="M1" s="857"/>
    </row>
    <row r="2" spans="1:13">
      <c r="A2" s="9"/>
      <c r="B2" s="856"/>
      <c r="C2" s="856"/>
      <c r="D2" s="856"/>
      <c r="E2" s="856"/>
      <c r="F2" s="856"/>
      <c r="G2" s="856"/>
      <c r="H2" s="856"/>
      <c r="I2" s="856"/>
      <c r="J2" s="856"/>
      <c r="K2" s="890"/>
      <c r="L2" s="857"/>
      <c r="M2" s="857"/>
    </row>
    <row r="3" spans="1:13" s="3" customFormat="1">
      <c r="A3" s="7" t="s">
        <v>2612</v>
      </c>
      <c r="B3" s="7" t="s">
        <v>2613</v>
      </c>
      <c r="C3" s="7" t="s">
        <v>2614</v>
      </c>
      <c r="D3" s="7" t="s">
        <v>2615</v>
      </c>
      <c r="E3" s="7" t="s">
        <v>2616</v>
      </c>
      <c r="F3" s="7" t="s">
        <v>6</v>
      </c>
      <c r="G3" s="7" t="s">
        <v>2617</v>
      </c>
      <c r="H3" s="7" t="s">
        <v>2618</v>
      </c>
      <c r="I3" s="7" t="s">
        <v>997</v>
      </c>
      <c r="J3" s="7" t="s">
        <v>2619</v>
      </c>
      <c r="K3" s="908" t="s">
        <v>991</v>
      </c>
      <c r="L3" s="133" t="s">
        <v>2610</v>
      </c>
      <c r="M3" s="133" t="s">
        <v>2611</v>
      </c>
    </row>
    <row r="4" spans="1:13">
      <c r="A4" s="115" t="s">
        <v>2446</v>
      </c>
      <c r="B4" s="115" t="s">
        <v>2447</v>
      </c>
      <c r="C4" s="116">
        <v>44016</v>
      </c>
      <c r="D4" s="116">
        <v>44030</v>
      </c>
      <c r="E4" s="115" t="s">
        <v>168</v>
      </c>
      <c r="F4" s="115" t="s">
        <v>51</v>
      </c>
      <c r="G4" s="115"/>
      <c r="H4" s="124" t="s">
        <v>2451</v>
      </c>
      <c r="I4" s="128" t="s">
        <v>2452</v>
      </c>
      <c r="J4" s="115" t="s">
        <v>2250</v>
      </c>
      <c r="K4" s="682">
        <v>2</v>
      </c>
      <c r="L4" s="361">
        <v>6</v>
      </c>
      <c r="M4" s="361">
        <v>2</v>
      </c>
    </row>
    <row r="5" spans="1:13">
      <c r="A5" s="115" t="s">
        <v>2185</v>
      </c>
      <c r="B5" s="115" t="s">
        <v>2600</v>
      </c>
      <c r="C5" s="116">
        <v>44030</v>
      </c>
      <c r="D5" s="116">
        <v>44044</v>
      </c>
      <c r="E5" s="115" t="s">
        <v>18</v>
      </c>
      <c r="F5" s="115" t="s">
        <v>51</v>
      </c>
      <c r="G5" s="115" t="s">
        <v>2606</v>
      </c>
      <c r="H5" s="124" t="s">
        <v>2602</v>
      </c>
      <c r="I5" s="128" t="s">
        <v>2601</v>
      </c>
      <c r="J5" s="115" t="s">
        <v>2607</v>
      </c>
      <c r="K5" s="682">
        <v>2</v>
      </c>
      <c r="L5" s="361">
        <v>5</v>
      </c>
      <c r="M5" s="361">
        <v>2</v>
      </c>
    </row>
    <row r="6" spans="1:13">
      <c r="A6" s="115" t="s">
        <v>2513</v>
      </c>
      <c r="B6" s="115" t="s">
        <v>2512</v>
      </c>
      <c r="C6" s="116">
        <v>44044</v>
      </c>
      <c r="D6" s="116">
        <v>44058</v>
      </c>
      <c r="E6" s="115" t="s">
        <v>168</v>
      </c>
      <c r="F6" s="115" t="s">
        <v>51</v>
      </c>
      <c r="G6" s="115"/>
      <c r="H6" s="124" t="s">
        <v>2515</v>
      </c>
      <c r="I6" s="128" t="s">
        <v>2516</v>
      </c>
      <c r="J6" s="115" t="s">
        <v>2502</v>
      </c>
      <c r="K6" s="682">
        <v>2</v>
      </c>
      <c r="L6" s="361">
        <v>4</v>
      </c>
      <c r="M6" s="361">
        <v>1</v>
      </c>
    </row>
    <row r="7" spans="1:13">
      <c r="A7" s="115" t="s">
        <v>2565</v>
      </c>
      <c r="B7" s="115" t="s">
        <v>2566</v>
      </c>
      <c r="C7" s="116">
        <v>44058</v>
      </c>
      <c r="D7" s="116">
        <v>44065</v>
      </c>
      <c r="E7" s="115" t="s">
        <v>23</v>
      </c>
      <c r="F7" s="115" t="s">
        <v>2568</v>
      </c>
      <c r="G7" s="115" t="s">
        <v>2569</v>
      </c>
      <c r="H7" s="124" t="s">
        <v>2570</v>
      </c>
      <c r="I7" s="128" t="s">
        <v>2571</v>
      </c>
      <c r="J7" s="115" t="s">
        <v>2578</v>
      </c>
      <c r="K7" s="682">
        <v>1</v>
      </c>
      <c r="L7" s="361">
        <v>6</v>
      </c>
      <c r="M7" s="361">
        <v>1</v>
      </c>
    </row>
    <row r="8" spans="1:13" s="446" customFormat="1">
      <c r="A8" s="115" t="s">
        <v>2416</v>
      </c>
      <c r="B8" s="115" t="s">
        <v>2417</v>
      </c>
      <c r="C8" s="116">
        <v>44065</v>
      </c>
      <c r="D8" s="116">
        <v>44086</v>
      </c>
      <c r="E8" s="115" t="s">
        <v>168</v>
      </c>
      <c r="F8" s="115" t="s">
        <v>1023</v>
      </c>
      <c r="G8" s="115" t="s">
        <v>2421</v>
      </c>
      <c r="H8" s="124" t="s">
        <v>2422</v>
      </c>
      <c r="I8" s="128" t="s">
        <v>2423</v>
      </c>
      <c r="J8" s="115" t="s">
        <v>2424</v>
      </c>
      <c r="K8" s="682">
        <v>3</v>
      </c>
      <c r="L8" s="361">
        <v>2</v>
      </c>
      <c r="M8" s="361">
        <v>1</v>
      </c>
    </row>
    <row r="9" spans="1:13">
      <c r="A9" s="115" t="s">
        <v>2406</v>
      </c>
      <c r="B9" s="115" t="s">
        <v>2407</v>
      </c>
      <c r="C9" s="116">
        <v>44086</v>
      </c>
      <c r="D9" s="116">
        <v>44100</v>
      </c>
      <c r="E9" s="115" t="s">
        <v>2411</v>
      </c>
      <c r="F9" s="115" t="s">
        <v>51</v>
      </c>
      <c r="G9" s="115" t="s">
        <v>2412</v>
      </c>
      <c r="H9" s="115" t="s">
        <v>2413</v>
      </c>
      <c r="I9" s="128" t="s">
        <v>2414</v>
      </c>
      <c r="J9" s="115" t="s">
        <v>2415</v>
      </c>
      <c r="K9" s="682">
        <v>2</v>
      </c>
      <c r="L9" s="361" t="s">
        <v>674</v>
      </c>
      <c r="M9" s="361">
        <v>3</v>
      </c>
    </row>
    <row r="10" spans="1:13">
      <c r="A10" s="8"/>
      <c r="B10" s="8"/>
      <c r="C10" s="31"/>
      <c r="D10" s="31"/>
      <c r="E10" s="8"/>
      <c r="F10" s="8"/>
      <c r="G10" s="8"/>
      <c r="H10" s="8"/>
      <c r="I10" s="73"/>
      <c r="J10" s="457"/>
      <c r="K10" s="685"/>
      <c r="L10" s="132"/>
      <c r="M10" s="132"/>
    </row>
    <row r="11" spans="1:13">
      <c r="A11" s="115" t="s">
        <v>2594</v>
      </c>
      <c r="B11" s="115" t="s">
        <v>2593</v>
      </c>
      <c r="C11" s="116">
        <v>44114</v>
      </c>
      <c r="D11" s="116">
        <v>44121</v>
      </c>
      <c r="E11" s="115" t="s">
        <v>18</v>
      </c>
      <c r="F11" s="115" t="s">
        <v>51</v>
      </c>
      <c r="G11" s="115" t="s">
        <v>2596</v>
      </c>
      <c r="H11" s="115" t="s">
        <v>2597</v>
      </c>
      <c r="I11" s="128" t="s">
        <v>2595</v>
      </c>
      <c r="J11" s="115" t="s">
        <v>2599</v>
      </c>
      <c r="K11" s="682">
        <v>1</v>
      </c>
      <c r="L11" s="361">
        <v>5</v>
      </c>
      <c r="M11" s="361">
        <v>2</v>
      </c>
    </row>
  </sheetData>
  <hyperlinks>
    <hyperlink ref="I9" r:id="rId1" xr:uid="{3BB2E445-7849-4891-91DE-BBACB735E030}"/>
    <hyperlink ref="I8" r:id="rId2" xr:uid="{9E51C69B-8DD8-4050-9304-D31456E87C57}"/>
    <hyperlink ref="I4" r:id="rId3" xr:uid="{193B14B9-8E59-441B-AEC9-5167538E9416}"/>
    <hyperlink ref="I6" r:id="rId4" xr:uid="{139EB48D-5FAF-4B93-A570-F11B7232DE24}"/>
    <hyperlink ref="I7" r:id="rId5" xr:uid="{EE1CDDE1-0C97-4B7F-A8E1-D8FCF2D2555B}"/>
  </hyperlinks>
  <pageMargins left="0.7" right="0.7" top="0.75" bottom="0.75" header="0.3" footer="0.3"/>
  <pageSetup paperSize="9" orientation="portrait" verticalDpi="0" r:id="rId6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1312D-8A75-4577-88BC-FA0815DBCC4C}">
  <dimension ref="A1:Z138"/>
  <sheetViews>
    <sheetView workbookViewId="0">
      <pane ySplit="1" topLeftCell="A81" activePane="bottomLeft" state="frozen"/>
      <selection activeCell="C1" sqref="C1"/>
      <selection pane="bottomLeft" activeCell="L95" sqref="L95"/>
    </sheetView>
  </sheetViews>
  <sheetFormatPr baseColWidth="10" defaultRowHeight="13.2"/>
  <cols>
    <col min="3" max="3" width="9.21875" customWidth="1"/>
    <col min="4" max="4" width="10.21875" customWidth="1"/>
    <col min="5" max="5" width="18.44140625" bestFit="1" customWidth="1"/>
    <col min="6" max="6" width="0" hidden="1" customWidth="1"/>
    <col min="9" max="9" width="9.6640625" customWidth="1"/>
    <col min="10" max="10" width="7.33203125" customWidth="1"/>
    <col min="11" max="11" width="13" hidden="1" customWidth="1"/>
    <col min="12" max="12" width="15.21875" bestFit="1" customWidth="1"/>
    <col min="13" max="13" width="11.5546875" style="8"/>
    <col min="14" max="14" width="7.77734375" customWidth="1"/>
    <col min="15" max="15" width="11.5546875" hidden="1" customWidth="1"/>
    <col min="16" max="16" width="23" customWidth="1"/>
    <col min="17" max="17" width="5.21875" customWidth="1"/>
    <col min="18" max="18" width="5.109375" customWidth="1"/>
    <col min="19" max="19" width="4.5546875" customWidth="1"/>
    <col min="21" max="21" width="21.88671875" bestFit="1" customWidth="1"/>
    <col min="24" max="24" width="12.109375" style="379" bestFit="1" customWidth="1"/>
  </cols>
  <sheetData>
    <row r="1" spans="1:24" s="8" customFormat="1" ht="10.199999999999999">
      <c r="A1" s="7" t="s">
        <v>0</v>
      </c>
      <c r="B1" s="7" t="s">
        <v>1</v>
      </c>
      <c r="C1" s="29" t="s">
        <v>370</v>
      </c>
      <c r="D1" s="29" t="s">
        <v>371</v>
      </c>
      <c r="E1" s="7" t="s">
        <v>2</v>
      </c>
      <c r="F1" s="7" t="s">
        <v>3</v>
      </c>
      <c r="G1" s="133" t="s">
        <v>4</v>
      </c>
      <c r="H1" s="8" t="s">
        <v>16</v>
      </c>
      <c r="I1" s="7" t="s">
        <v>5</v>
      </c>
      <c r="J1" s="7" t="s">
        <v>6</v>
      </c>
      <c r="K1" s="7" t="s">
        <v>7</v>
      </c>
      <c r="L1" s="7" t="s">
        <v>21</v>
      </c>
      <c r="M1" s="7" t="s">
        <v>9</v>
      </c>
      <c r="N1" s="7" t="s">
        <v>418</v>
      </c>
      <c r="O1" s="7" t="s">
        <v>38</v>
      </c>
      <c r="P1" s="8" t="s">
        <v>67</v>
      </c>
      <c r="Q1" s="439" t="s">
        <v>417</v>
      </c>
      <c r="R1" s="133" t="s">
        <v>416</v>
      </c>
      <c r="S1" s="133" t="s">
        <v>105</v>
      </c>
      <c r="T1" s="7" t="s">
        <v>231</v>
      </c>
      <c r="U1" s="8" t="s">
        <v>836</v>
      </c>
      <c r="V1" s="8" t="s">
        <v>835</v>
      </c>
      <c r="W1" s="8" t="s">
        <v>869</v>
      </c>
      <c r="X1" s="439" t="s">
        <v>2262</v>
      </c>
    </row>
    <row r="2" spans="1:24" s="8" customFormat="1" ht="10.199999999999999">
      <c r="A2" s="7"/>
      <c r="B2" s="7"/>
      <c r="C2" s="29"/>
      <c r="D2" s="29"/>
      <c r="E2" s="7"/>
      <c r="F2" s="7"/>
      <c r="G2" s="133"/>
      <c r="I2" s="7"/>
      <c r="J2" s="7"/>
      <c r="K2" s="7"/>
      <c r="L2" s="7"/>
      <c r="M2" s="7"/>
      <c r="N2" s="7"/>
      <c r="O2" s="7"/>
      <c r="Q2" s="439"/>
      <c r="R2" s="133"/>
      <c r="S2" s="133"/>
      <c r="T2" s="7"/>
      <c r="X2" s="439"/>
    </row>
    <row r="3" spans="1:24" s="8" customFormat="1" ht="10.199999999999999">
      <c r="A3" s="9" t="s">
        <v>4206</v>
      </c>
      <c r="B3" s="856"/>
      <c r="C3" s="1114"/>
      <c r="E3" s="1114"/>
      <c r="G3" s="857"/>
      <c r="H3" s="856"/>
      <c r="I3" s="856"/>
      <c r="J3" s="856"/>
      <c r="K3" s="856"/>
      <c r="L3" s="856"/>
      <c r="M3" s="856"/>
      <c r="N3" s="856"/>
      <c r="O3" s="856"/>
      <c r="P3" s="856"/>
      <c r="Q3" s="858"/>
      <c r="R3" s="857"/>
      <c r="S3" s="857"/>
      <c r="T3" s="858"/>
      <c r="U3" s="856"/>
      <c r="V3" s="856"/>
      <c r="W3" s="856"/>
      <c r="X3" s="439"/>
    </row>
    <row r="4" spans="1:24" s="8" customFormat="1" ht="10.199999999999999">
      <c r="A4" s="9"/>
      <c r="B4" s="856"/>
      <c r="C4" s="1114"/>
      <c r="E4" s="1114"/>
      <c r="G4" s="857"/>
      <c r="H4" s="856"/>
      <c r="I4" s="856"/>
      <c r="J4" s="856"/>
      <c r="K4" s="856"/>
      <c r="L4" s="856"/>
      <c r="M4" s="856"/>
      <c r="N4" s="856"/>
      <c r="O4" s="856"/>
      <c r="P4" s="856"/>
      <c r="Q4" s="858"/>
      <c r="R4" s="857"/>
      <c r="S4" s="857"/>
      <c r="T4" s="858"/>
      <c r="U4" s="856"/>
      <c r="V4" s="856"/>
      <c r="W4" s="856"/>
      <c r="X4" s="439"/>
    </row>
    <row r="5" spans="1:24" s="498" customFormat="1" ht="10.199999999999999">
      <c r="A5" s="498" t="s">
        <v>3911</v>
      </c>
      <c r="B5" s="498" t="s">
        <v>556</v>
      </c>
      <c r="C5" s="499">
        <v>45451</v>
      </c>
      <c r="D5" s="499">
        <v>45458</v>
      </c>
      <c r="E5" s="498" t="s">
        <v>3912</v>
      </c>
      <c r="G5" s="500">
        <v>68600</v>
      </c>
      <c r="H5" s="498" t="s">
        <v>3913</v>
      </c>
      <c r="I5" s="498" t="s">
        <v>23</v>
      </c>
      <c r="J5" s="498" t="s">
        <v>51</v>
      </c>
      <c r="L5" s="688" t="s">
        <v>3914</v>
      </c>
      <c r="M5" s="868" t="s">
        <v>4047</v>
      </c>
      <c r="N5" s="502">
        <f>1290+70+7*3*3</f>
        <v>1423</v>
      </c>
      <c r="P5" s="498" t="s">
        <v>4057</v>
      </c>
      <c r="Q5" s="1490">
        <v>1</v>
      </c>
      <c r="R5" s="500">
        <v>2</v>
      </c>
      <c r="S5" s="500">
        <v>2</v>
      </c>
      <c r="T5" s="1804" t="s">
        <v>3915</v>
      </c>
      <c r="U5" s="504">
        <v>45339</v>
      </c>
      <c r="V5" s="498" t="s">
        <v>1769</v>
      </c>
      <c r="X5" s="1490"/>
    </row>
    <row r="6" spans="1:24" s="498" customFormat="1" ht="10.199999999999999">
      <c r="A6" s="498" t="s">
        <v>3906</v>
      </c>
      <c r="B6" s="498" t="s">
        <v>2992</v>
      </c>
      <c r="C6" s="499">
        <v>45458</v>
      </c>
      <c r="D6" s="499">
        <v>45465</v>
      </c>
      <c r="E6" s="498" t="s">
        <v>3907</v>
      </c>
      <c r="G6" s="500" t="s">
        <v>3908</v>
      </c>
      <c r="H6" s="498" t="s">
        <v>2382</v>
      </c>
      <c r="I6" s="498" t="s">
        <v>54</v>
      </c>
      <c r="J6" s="498" t="s">
        <v>19</v>
      </c>
      <c r="K6" s="498" t="s">
        <v>4060</v>
      </c>
      <c r="L6" s="688" t="s">
        <v>3909</v>
      </c>
      <c r="M6" s="868" t="s">
        <v>3910</v>
      </c>
      <c r="N6" s="502">
        <f>347.5+1475.5-300</f>
        <v>1523</v>
      </c>
      <c r="P6" s="498" t="s">
        <v>4048</v>
      </c>
      <c r="Q6" s="1490">
        <v>1</v>
      </c>
      <c r="R6" s="500">
        <v>2</v>
      </c>
      <c r="S6" s="500">
        <v>2</v>
      </c>
      <c r="T6" s="1804" t="s">
        <v>3916</v>
      </c>
      <c r="U6" s="504">
        <v>45338</v>
      </c>
      <c r="V6" s="498" t="s">
        <v>3904</v>
      </c>
      <c r="X6" s="1490"/>
    </row>
    <row r="7" spans="1:24" s="498" customFormat="1" ht="10.199999999999999">
      <c r="A7" s="498" t="s">
        <v>4019</v>
      </c>
      <c r="B7" s="498" t="s">
        <v>4020</v>
      </c>
      <c r="C7" s="499">
        <v>45465</v>
      </c>
      <c r="D7" s="499">
        <v>45479</v>
      </c>
      <c r="E7" s="498" t="s">
        <v>4021</v>
      </c>
      <c r="G7" s="500" t="s">
        <v>4022</v>
      </c>
      <c r="H7" s="498" t="s">
        <v>4023</v>
      </c>
      <c r="I7" s="498" t="s">
        <v>18</v>
      </c>
      <c r="J7" s="498" t="s">
        <v>1023</v>
      </c>
      <c r="L7" s="688" t="s">
        <v>4024</v>
      </c>
      <c r="M7" s="868" t="s">
        <v>4025</v>
      </c>
      <c r="N7" s="502">
        <f>1390+1690+70</f>
        <v>3150</v>
      </c>
      <c r="P7" s="498" t="s">
        <v>4064</v>
      </c>
      <c r="Q7" s="1490">
        <v>2</v>
      </c>
      <c r="R7" s="500">
        <v>2</v>
      </c>
      <c r="S7" s="500">
        <v>1</v>
      </c>
      <c r="T7" s="1804" t="s">
        <v>4027</v>
      </c>
      <c r="U7" s="504">
        <v>45424</v>
      </c>
      <c r="V7" s="498" t="s">
        <v>1769</v>
      </c>
      <c r="X7" s="1490"/>
    </row>
    <row r="8" spans="1:24" s="498" customFormat="1" ht="10.199999999999999">
      <c r="A8" s="498" t="s">
        <v>3974</v>
      </c>
      <c r="B8" s="498" t="s">
        <v>3975</v>
      </c>
      <c r="C8" s="499" t="s">
        <v>3981</v>
      </c>
      <c r="D8" s="499">
        <v>45493</v>
      </c>
      <c r="E8" s="498" t="s">
        <v>3976</v>
      </c>
      <c r="G8" s="500" t="s">
        <v>3977</v>
      </c>
      <c r="H8" s="498" t="s">
        <v>3978</v>
      </c>
      <c r="I8" s="498" t="s">
        <v>18</v>
      </c>
      <c r="J8" s="498" t="s">
        <v>51</v>
      </c>
      <c r="L8" s="688" t="s">
        <v>3979</v>
      </c>
      <c r="M8" s="868" t="s">
        <v>3980</v>
      </c>
      <c r="N8" s="502">
        <f>3480+70</f>
        <v>3550</v>
      </c>
      <c r="P8" s="498" t="s">
        <v>2674</v>
      </c>
      <c r="Q8" s="1490">
        <v>2</v>
      </c>
      <c r="R8" s="500">
        <v>2</v>
      </c>
      <c r="S8" s="500">
        <v>1</v>
      </c>
      <c r="T8" s="1804" t="s">
        <v>4006</v>
      </c>
      <c r="U8" s="504">
        <v>45390</v>
      </c>
      <c r="V8" s="498" t="s">
        <v>1769</v>
      </c>
      <c r="X8" s="1490"/>
    </row>
    <row r="9" spans="1:24" s="498" customFormat="1" ht="10.199999999999999">
      <c r="A9" s="498" t="s">
        <v>3819</v>
      </c>
      <c r="B9" s="498" t="s">
        <v>4056</v>
      </c>
      <c r="C9" s="499">
        <v>45493</v>
      </c>
      <c r="D9" s="499">
        <v>45507</v>
      </c>
      <c r="E9" s="498" t="s">
        <v>3820</v>
      </c>
      <c r="G9" s="500" t="s">
        <v>3821</v>
      </c>
      <c r="H9" s="498" t="s">
        <v>3822</v>
      </c>
      <c r="I9" s="498" t="s">
        <v>18</v>
      </c>
      <c r="J9" s="498" t="s">
        <v>51</v>
      </c>
      <c r="L9" s="688" t="s">
        <v>3823</v>
      </c>
      <c r="M9" s="868" t="s">
        <v>3824</v>
      </c>
      <c r="N9" s="502">
        <f>1790*2+70</f>
        <v>3650</v>
      </c>
      <c r="Q9" s="1490">
        <v>2</v>
      </c>
      <c r="R9" s="500">
        <v>3</v>
      </c>
      <c r="S9" s="500">
        <v>1</v>
      </c>
      <c r="T9" s="1804">
        <v>895</v>
      </c>
      <c r="U9" s="504">
        <v>45292</v>
      </c>
      <c r="V9" s="498" t="s">
        <v>1769</v>
      </c>
      <c r="X9" s="1490"/>
    </row>
    <row r="10" spans="1:24" s="498" customFormat="1" ht="10.199999999999999">
      <c r="A10" s="498" t="s">
        <v>3890</v>
      </c>
      <c r="B10" s="498" t="s">
        <v>3891</v>
      </c>
      <c r="C10" s="499">
        <v>45507</v>
      </c>
      <c r="D10" s="499">
        <v>45521</v>
      </c>
      <c r="E10" s="498" t="s">
        <v>3892</v>
      </c>
      <c r="G10" s="500" t="s">
        <v>3893</v>
      </c>
      <c r="H10" s="498" t="s">
        <v>3894</v>
      </c>
      <c r="I10" s="498" t="s">
        <v>18</v>
      </c>
      <c r="J10" s="498" t="s">
        <v>51</v>
      </c>
      <c r="L10" s="688" t="s">
        <v>3895</v>
      </c>
      <c r="M10" s="868" t="s">
        <v>3896</v>
      </c>
      <c r="N10" s="502">
        <f>795+2797</f>
        <v>3592</v>
      </c>
      <c r="P10" s="498" t="s">
        <v>4087</v>
      </c>
      <c r="Q10" s="1490">
        <v>2</v>
      </c>
      <c r="R10" s="500">
        <v>5</v>
      </c>
      <c r="S10" s="500">
        <v>1</v>
      </c>
      <c r="T10" s="1804">
        <v>795</v>
      </c>
      <c r="U10" s="504">
        <v>45337</v>
      </c>
      <c r="V10" s="498" t="s">
        <v>1769</v>
      </c>
      <c r="X10" s="1490"/>
    </row>
    <row r="11" spans="1:24" s="115" customFormat="1" ht="10.199999999999999">
      <c r="A11" s="115" t="s">
        <v>3956</v>
      </c>
      <c r="B11" s="115" t="s">
        <v>1772</v>
      </c>
      <c r="C11" s="116">
        <v>45521</v>
      </c>
      <c r="D11" s="116">
        <v>45535</v>
      </c>
      <c r="E11" s="115" t="s">
        <v>3957</v>
      </c>
      <c r="G11" s="361" t="s">
        <v>2381</v>
      </c>
      <c r="H11" s="115" t="s">
        <v>2382</v>
      </c>
      <c r="I11" s="115" t="s">
        <v>18</v>
      </c>
      <c r="J11" s="115" t="s">
        <v>51</v>
      </c>
      <c r="L11" s="124" t="s">
        <v>3958</v>
      </c>
      <c r="M11" s="128" t="s">
        <v>3959</v>
      </c>
      <c r="N11" s="359">
        <v>870</v>
      </c>
      <c r="P11" s="115" t="s">
        <v>4117</v>
      </c>
      <c r="Q11" s="1486">
        <v>0</v>
      </c>
      <c r="R11" s="361">
        <v>4</v>
      </c>
      <c r="S11" s="361">
        <v>1</v>
      </c>
      <c r="T11" s="1134">
        <v>870</v>
      </c>
      <c r="U11" s="120"/>
      <c r="V11" s="115" t="s">
        <v>1769</v>
      </c>
      <c r="X11" s="1486"/>
    </row>
    <row r="12" spans="1:24" s="1787" customFormat="1" ht="10.199999999999999">
      <c r="A12" s="1787" t="s">
        <v>3811</v>
      </c>
      <c r="B12" s="1787" t="s">
        <v>3812</v>
      </c>
      <c r="C12" s="1788">
        <v>45535</v>
      </c>
      <c r="D12" s="1788">
        <v>45549</v>
      </c>
      <c r="E12" s="1787" t="s">
        <v>3813</v>
      </c>
      <c r="G12" s="1789" t="s">
        <v>3814</v>
      </c>
      <c r="H12" s="1787" t="s">
        <v>868</v>
      </c>
      <c r="I12" s="1787" t="s">
        <v>18</v>
      </c>
      <c r="J12" s="1787" t="s">
        <v>51</v>
      </c>
      <c r="L12" s="1787" t="s">
        <v>3815</v>
      </c>
      <c r="M12" s="868" t="s">
        <v>3816</v>
      </c>
      <c r="N12" s="1920">
        <f>695+2197</f>
        <v>2892</v>
      </c>
      <c r="P12" s="1618" t="s">
        <v>3818</v>
      </c>
      <c r="Q12" s="1921">
        <v>2</v>
      </c>
      <c r="R12" s="1789" t="s">
        <v>3825</v>
      </c>
      <c r="S12" s="1789">
        <v>1</v>
      </c>
      <c r="T12" s="1922">
        <v>695</v>
      </c>
      <c r="U12" s="1794">
        <v>45656</v>
      </c>
      <c r="V12" s="1787" t="s">
        <v>1769</v>
      </c>
      <c r="X12" s="1921"/>
    </row>
    <row r="13" spans="1:24" s="1805" customFormat="1" ht="10.199999999999999">
      <c r="A13" s="1805" t="s">
        <v>765</v>
      </c>
      <c r="B13" s="1805" t="s">
        <v>3951</v>
      </c>
      <c r="C13" s="1806">
        <v>45549</v>
      </c>
      <c r="D13" s="1806">
        <v>45563</v>
      </c>
      <c r="G13" s="1807"/>
      <c r="I13" s="1805" t="s">
        <v>18</v>
      </c>
      <c r="J13" s="1805" t="s">
        <v>51</v>
      </c>
      <c r="L13" s="1808" t="s">
        <v>3952</v>
      </c>
      <c r="M13" s="861" t="s">
        <v>3953</v>
      </c>
      <c r="N13" s="1809">
        <v>645</v>
      </c>
      <c r="P13" s="1805" t="s">
        <v>4051</v>
      </c>
      <c r="Q13" s="1810">
        <v>0</v>
      </c>
      <c r="R13" s="1807">
        <v>2</v>
      </c>
      <c r="S13" s="1807">
        <v>1</v>
      </c>
      <c r="T13" s="1811" t="s">
        <v>3955</v>
      </c>
      <c r="U13" s="1812">
        <v>45369</v>
      </c>
      <c r="V13" s="1805" t="s">
        <v>1769</v>
      </c>
      <c r="X13" s="1810"/>
    </row>
    <row r="14" spans="1:24" s="1787" customFormat="1" ht="10.199999999999999">
      <c r="A14" s="1787" t="s">
        <v>4081</v>
      </c>
      <c r="B14" s="1787" t="s">
        <v>4080</v>
      </c>
      <c r="C14" s="1788">
        <v>45551</v>
      </c>
      <c r="D14" s="1788">
        <v>45565</v>
      </c>
      <c r="E14" s="1787" t="s">
        <v>4082</v>
      </c>
      <c r="G14" s="1789" t="s">
        <v>2745</v>
      </c>
      <c r="H14" s="1787" t="s">
        <v>2746</v>
      </c>
      <c r="I14" s="1787" t="s">
        <v>18</v>
      </c>
      <c r="J14" s="1787" t="s">
        <v>51</v>
      </c>
      <c r="L14" s="1790" t="s">
        <v>4083</v>
      </c>
      <c r="M14" s="868" t="s">
        <v>4084</v>
      </c>
      <c r="N14" s="1920">
        <f>1390+1190+300+14*3+70-300</f>
        <v>2692</v>
      </c>
      <c r="P14" s="1787" t="s">
        <v>4123</v>
      </c>
      <c r="Q14" s="1921">
        <v>2</v>
      </c>
      <c r="R14" s="1789">
        <v>2</v>
      </c>
      <c r="S14" s="1789">
        <v>1</v>
      </c>
      <c r="T14" s="1922" t="s">
        <v>4093</v>
      </c>
      <c r="U14" s="1794">
        <v>45495</v>
      </c>
      <c r="V14" s="1787" t="s">
        <v>1769</v>
      </c>
      <c r="X14" s="1921"/>
    </row>
    <row r="15" spans="1:24" s="1787" customFormat="1" ht="10.199999999999999">
      <c r="A15" s="1787" t="s">
        <v>4088</v>
      </c>
      <c r="B15" s="1787" t="s">
        <v>2366</v>
      </c>
      <c r="C15" s="1788">
        <v>45565</v>
      </c>
      <c r="D15" s="1788">
        <v>45577</v>
      </c>
      <c r="E15" s="1787" t="s">
        <v>4090</v>
      </c>
      <c r="G15" s="1789" t="s">
        <v>4089</v>
      </c>
      <c r="H15" s="1787" t="s">
        <v>2369</v>
      </c>
      <c r="I15" s="1787" t="s">
        <v>18</v>
      </c>
      <c r="J15" s="1787" t="s">
        <v>51</v>
      </c>
      <c r="L15" s="1790" t="s">
        <v>4091</v>
      </c>
      <c r="M15" s="868" t="s">
        <v>2371</v>
      </c>
      <c r="N15" s="1920">
        <f>1780+70+12*3</f>
        <v>1886</v>
      </c>
      <c r="P15" s="1787" t="s">
        <v>4128</v>
      </c>
      <c r="Q15" s="1921">
        <v>2</v>
      </c>
      <c r="R15" s="1789">
        <v>2</v>
      </c>
      <c r="S15" s="1789">
        <v>1</v>
      </c>
      <c r="T15" s="1922" t="s">
        <v>4095</v>
      </c>
      <c r="U15" s="1794">
        <v>45497</v>
      </c>
      <c r="V15" s="1787" t="s">
        <v>4092</v>
      </c>
      <c r="X15" s="1921"/>
    </row>
    <row r="16" spans="1:24" s="498" customFormat="1" ht="12" customHeight="1">
      <c r="A16" s="498" t="s">
        <v>527</v>
      </c>
      <c r="B16" s="498" t="s">
        <v>693</v>
      </c>
      <c r="C16" s="499">
        <v>45651</v>
      </c>
      <c r="D16" s="499">
        <v>45662</v>
      </c>
      <c r="E16" s="498" t="s">
        <v>1787</v>
      </c>
      <c r="G16" s="500" t="s">
        <v>1788</v>
      </c>
      <c r="H16" s="498" t="s">
        <v>1789</v>
      </c>
      <c r="I16" s="498" t="s">
        <v>18</v>
      </c>
      <c r="J16" s="498" t="s">
        <v>51</v>
      </c>
      <c r="L16" s="498" t="s">
        <v>1790</v>
      </c>
      <c r="M16" s="868" t="s">
        <v>1791</v>
      </c>
      <c r="N16" s="1961">
        <f>2300+70</f>
        <v>2370</v>
      </c>
      <c r="O16" s="1040">
        <f>1290*2+70</f>
        <v>2650</v>
      </c>
      <c r="P16" s="498" t="s">
        <v>4144</v>
      </c>
      <c r="Q16" s="894">
        <v>2</v>
      </c>
      <c r="R16" s="500">
        <v>2</v>
      </c>
      <c r="S16" s="500">
        <v>1</v>
      </c>
      <c r="T16" s="1869" t="s">
        <v>4163</v>
      </c>
      <c r="U16" s="504">
        <v>45547</v>
      </c>
      <c r="V16" s="498" t="s">
        <v>4143</v>
      </c>
      <c r="W16" s="498" t="s">
        <v>1217</v>
      </c>
      <c r="X16" s="1490"/>
    </row>
    <row r="17" spans="1:24" s="8" customFormat="1" ht="10.8" thickBot="1">
      <c r="C17" s="31"/>
      <c r="D17" s="31"/>
      <c r="E17" s="404"/>
      <c r="G17" s="132"/>
      <c r="L17" s="15"/>
      <c r="M17" s="1103"/>
      <c r="N17" s="439"/>
      <c r="Q17" s="439"/>
      <c r="R17" s="132"/>
      <c r="S17" s="132"/>
      <c r="T17" s="916"/>
      <c r="U17" s="86"/>
      <c r="X17" s="439"/>
    </row>
    <row r="18" spans="1:24" s="8" customFormat="1" ht="10.8" thickBot="1">
      <c r="A18" s="18" t="s">
        <v>3469</v>
      </c>
      <c r="B18" s="767">
        <f>SUM(N3:N17)</f>
        <v>28243</v>
      </c>
      <c r="C18" s="933"/>
      <c r="D18" s="791" t="s">
        <v>3826</v>
      </c>
      <c r="E18" s="1577"/>
      <c r="F18" s="7"/>
      <c r="G18" s="133"/>
      <c r="I18" s="7" t="s">
        <v>4026</v>
      </c>
      <c r="J18" s="7" t="s">
        <v>3999</v>
      </c>
      <c r="K18" s="7"/>
      <c r="L18" s="864"/>
      <c r="M18" s="7"/>
      <c r="N18" s="1135"/>
      <c r="O18" s="7"/>
      <c r="Q18" s="439"/>
      <c r="R18" s="133"/>
      <c r="S18" s="133"/>
      <c r="T18" s="1135"/>
      <c r="X18" s="439"/>
    </row>
    <row r="19" spans="1:24" s="8" customFormat="1" ht="15" thickBot="1">
      <c r="A19" s="768" t="s">
        <v>463</v>
      </c>
      <c r="B19" s="922">
        <f>SUM(Q3:Q22)</f>
        <v>18</v>
      </c>
      <c r="C19" s="1576">
        <f>B18/B19</f>
        <v>1569.0555555555557</v>
      </c>
      <c r="D19" s="17" t="s">
        <v>3247</v>
      </c>
      <c r="E19" s="1127"/>
      <c r="F19" s="7"/>
      <c r="G19" s="133"/>
      <c r="H19" s="407"/>
      <c r="I19" s="7" t="s">
        <v>3247</v>
      </c>
      <c r="J19" s="8" t="s">
        <v>3998</v>
      </c>
      <c r="K19" s="404"/>
      <c r="N19" s="1135"/>
      <c r="O19" s="7"/>
      <c r="Q19" s="439"/>
      <c r="R19" s="133"/>
      <c r="S19" s="133"/>
      <c r="T19" s="1135"/>
      <c r="X19" s="439"/>
    </row>
    <row r="20" spans="1:24" s="8" customFormat="1" ht="10.8" thickBot="1">
      <c r="A20" s="7"/>
      <c r="B20" s="7"/>
      <c r="C20" s="29"/>
      <c r="D20" s="17" t="s">
        <v>3779</v>
      </c>
      <c r="E20" s="1127"/>
      <c r="F20" s="7"/>
      <c r="G20" s="133"/>
      <c r="I20" s="7" t="s">
        <v>3248</v>
      </c>
      <c r="K20" s="404"/>
      <c r="L20" s="495"/>
      <c r="N20" s="1135"/>
      <c r="O20" s="7"/>
      <c r="Q20" s="439"/>
      <c r="R20" s="133"/>
      <c r="S20" s="133"/>
      <c r="T20" s="1135"/>
      <c r="X20" s="439"/>
    </row>
    <row r="21" spans="1:24" s="8" customFormat="1" ht="10.8" thickBot="1">
      <c r="A21" s="18" t="s">
        <v>464</v>
      </c>
      <c r="B21" s="851">
        <f>8*2000</f>
        <v>16000</v>
      </c>
      <c r="C21" s="29"/>
      <c r="D21" s="17" t="s">
        <v>3817</v>
      </c>
      <c r="E21" s="1127"/>
      <c r="F21" s="7"/>
      <c r="G21" s="133"/>
      <c r="H21" s="495"/>
      <c r="I21" s="7"/>
      <c r="J21" s="7"/>
      <c r="K21" s="404"/>
      <c r="L21" s="404"/>
      <c r="N21" s="439"/>
      <c r="O21" s="7"/>
      <c r="Q21" s="439"/>
      <c r="R21" s="133"/>
      <c r="S21" s="133"/>
      <c r="T21" s="1135"/>
      <c r="X21" s="439"/>
    </row>
    <row r="22" spans="1:24" s="8" customFormat="1" ht="10.8" thickBot="1">
      <c r="A22" s="852" t="s">
        <v>574</v>
      </c>
      <c r="B22" s="853">
        <f>E18</f>
        <v>0</v>
      </c>
      <c r="C22" s="29"/>
      <c r="D22" s="17" t="s">
        <v>577</v>
      </c>
      <c r="E22" s="1127">
        <v>0</v>
      </c>
      <c r="F22" s="7"/>
      <c r="G22" s="133"/>
      <c r="H22" s="495"/>
      <c r="I22" s="7"/>
      <c r="J22" s="7"/>
      <c r="K22" s="49"/>
      <c r="L22" s="49"/>
      <c r="M22" s="1111"/>
      <c r="N22" s="1135"/>
      <c r="O22" s="7"/>
      <c r="Q22" s="439"/>
      <c r="R22" s="133"/>
      <c r="S22" s="133"/>
      <c r="T22" s="1135"/>
      <c r="X22" s="439"/>
    </row>
    <row r="23" spans="1:24" s="8" customFormat="1" ht="10.199999999999999">
      <c r="A23" s="510" t="s">
        <v>1534</v>
      </c>
      <c r="B23" s="854">
        <f>B18-B21-B22</f>
        <v>12243</v>
      </c>
      <c r="C23" s="29"/>
      <c r="D23" s="17" t="s">
        <v>4308</v>
      </c>
      <c r="E23" s="1127">
        <v>0</v>
      </c>
      <c r="F23" s="7"/>
      <c r="G23" s="133"/>
      <c r="H23" s="495"/>
      <c r="I23" s="7"/>
      <c r="J23" s="7"/>
      <c r="N23" s="1135"/>
      <c r="O23" s="7"/>
      <c r="Q23" s="439"/>
      <c r="R23" s="133"/>
      <c r="S23" s="133"/>
      <c r="T23" s="1135"/>
      <c r="X23" s="439"/>
    </row>
    <row r="24" spans="1:24" s="8" customFormat="1" ht="10.199999999999999">
      <c r="D24" s="10" t="s">
        <v>2525</v>
      </c>
      <c r="E24" s="1127"/>
      <c r="N24" s="439"/>
      <c r="Q24" s="439"/>
      <c r="T24" s="439"/>
      <c r="X24" s="439"/>
    </row>
    <row r="25" spans="1:24" s="8" customFormat="1" ht="10.199999999999999">
      <c r="D25" s="10" t="s">
        <v>3999</v>
      </c>
      <c r="E25" s="1127">
        <f>30*7</f>
        <v>210</v>
      </c>
      <c r="M25" s="7"/>
      <c r="N25" s="439"/>
      <c r="Q25" s="439"/>
      <c r="T25" s="439"/>
      <c r="X25" s="439"/>
    </row>
    <row r="26" spans="1:24" s="8" customFormat="1" ht="10.199999999999999">
      <c r="D26" s="10" t="s">
        <v>3255</v>
      </c>
      <c r="E26" s="1127">
        <v>250.97</v>
      </c>
      <c r="M26" s="7"/>
      <c r="N26" s="439"/>
      <c r="Q26" s="439"/>
      <c r="T26" s="439"/>
      <c r="X26" s="439"/>
    </row>
    <row r="27" spans="1:24" s="8" customFormat="1" ht="10.199999999999999">
      <c r="D27" s="10" t="s">
        <v>3777</v>
      </c>
      <c r="E27" s="1127"/>
      <c r="N27" s="439"/>
      <c r="Q27" s="439"/>
      <c r="X27" s="439"/>
    </row>
    <row r="28" spans="1:24" s="8" customFormat="1" ht="10.8" thickBot="1">
      <c r="D28" s="519" t="s">
        <v>3778</v>
      </c>
      <c r="E28" s="1226"/>
      <c r="N28" s="439"/>
      <c r="Q28" s="439"/>
      <c r="T28" s="439"/>
      <c r="X28" s="439"/>
    </row>
    <row r="29" spans="1:24">
      <c r="N29" s="379"/>
    </row>
    <row r="30" spans="1:24">
      <c r="N30" s="379"/>
    </row>
    <row r="31" spans="1:24" s="8" customFormat="1" ht="10.199999999999999">
      <c r="A31" s="9" t="s">
        <v>4207</v>
      </c>
      <c r="B31" s="856"/>
      <c r="C31" s="1114"/>
      <c r="E31" s="1114"/>
      <c r="G31" s="857"/>
      <c r="H31" s="856"/>
      <c r="I31" s="856"/>
      <c r="J31" s="856"/>
      <c r="K31" s="856"/>
      <c r="L31" s="856"/>
      <c r="M31" s="856"/>
      <c r="N31" s="856"/>
      <c r="O31" s="856"/>
      <c r="P31" s="856"/>
      <c r="Q31" s="858"/>
      <c r="R31" s="857"/>
      <c r="S31" s="857"/>
      <c r="T31" s="858"/>
      <c r="U31" s="856"/>
      <c r="V31" s="856"/>
      <c r="W31" s="856"/>
      <c r="X31" s="439"/>
    </row>
    <row r="32" spans="1:24" s="8" customFormat="1" ht="10.199999999999999">
      <c r="A32" s="9"/>
      <c r="B32" s="856"/>
      <c r="C32" s="1114"/>
      <c r="E32" s="1114"/>
      <c r="G32" s="857"/>
      <c r="H32" s="856"/>
      <c r="I32" s="856"/>
      <c r="J32" s="856"/>
      <c r="K32" s="856"/>
      <c r="L32" s="856"/>
      <c r="M32" s="856"/>
      <c r="N32" s="856"/>
      <c r="O32" s="856"/>
      <c r="P32" s="856"/>
      <c r="Q32" s="858"/>
      <c r="R32" s="857"/>
      <c r="S32" s="857"/>
      <c r="T32" s="858"/>
      <c r="U32" s="856"/>
      <c r="V32" s="856"/>
      <c r="W32" s="856"/>
      <c r="X32" s="439"/>
    </row>
    <row r="33" spans="1:24" s="498" customFormat="1" ht="10.199999999999999">
      <c r="A33" s="498" t="s">
        <v>4372</v>
      </c>
      <c r="B33" s="498" t="s">
        <v>4494</v>
      </c>
      <c r="C33" s="499">
        <v>45794</v>
      </c>
      <c r="D33" s="499">
        <v>45801</v>
      </c>
      <c r="E33" s="498" t="s">
        <v>4373</v>
      </c>
      <c r="G33" s="500"/>
      <c r="I33" s="498" t="s">
        <v>168</v>
      </c>
      <c r="J33" s="498" t="s">
        <v>51</v>
      </c>
      <c r="L33" s="688" t="s">
        <v>4374</v>
      </c>
      <c r="M33" s="868" t="s">
        <v>4376</v>
      </c>
      <c r="N33" s="502">
        <f>1390+42+70</f>
        <v>1502</v>
      </c>
      <c r="P33" s="498" t="s">
        <v>4375</v>
      </c>
      <c r="Q33" s="1490">
        <v>1</v>
      </c>
      <c r="R33" s="500">
        <v>2</v>
      </c>
      <c r="S33" s="500">
        <v>2</v>
      </c>
      <c r="T33" s="1804" t="s">
        <v>4387</v>
      </c>
      <c r="U33" s="504">
        <v>45700</v>
      </c>
      <c r="V33" s="498" t="s">
        <v>1665</v>
      </c>
      <c r="X33" s="1490"/>
    </row>
    <row r="34" spans="1:24" s="498" customFormat="1" ht="10.199999999999999">
      <c r="A34" s="498" t="s">
        <v>4294</v>
      </c>
      <c r="B34" s="498" t="s">
        <v>4295</v>
      </c>
      <c r="C34" s="499">
        <v>45801</v>
      </c>
      <c r="D34" s="499">
        <v>45815</v>
      </c>
      <c r="E34" s="498" t="s">
        <v>4296</v>
      </c>
      <c r="G34" s="500" t="s">
        <v>3611</v>
      </c>
      <c r="H34" s="498" t="s">
        <v>4297</v>
      </c>
      <c r="I34" s="498" t="s">
        <v>18</v>
      </c>
      <c r="J34" s="498" t="s">
        <v>51</v>
      </c>
      <c r="L34" s="688" t="s">
        <v>4298</v>
      </c>
      <c r="M34" s="868" t="s">
        <v>4299</v>
      </c>
      <c r="N34" s="502">
        <f>1590+1590</f>
        <v>3180</v>
      </c>
      <c r="P34" s="498" t="s">
        <v>4523</v>
      </c>
      <c r="Q34" s="1490">
        <v>2</v>
      </c>
      <c r="R34" s="500">
        <v>2</v>
      </c>
      <c r="S34" s="500">
        <v>1</v>
      </c>
      <c r="T34" s="1804" t="s">
        <v>4306</v>
      </c>
      <c r="U34" s="504">
        <v>45667</v>
      </c>
      <c r="V34" s="498" t="s">
        <v>1769</v>
      </c>
      <c r="X34" s="1487">
        <f>2455/2</f>
        <v>1227.5</v>
      </c>
    </row>
    <row r="35" spans="1:24" s="498" customFormat="1" ht="10.199999999999999">
      <c r="A35" s="498" t="s">
        <v>4475</v>
      </c>
      <c r="B35" s="498" t="s">
        <v>4474</v>
      </c>
      <c r="C35" s="499">
        <v>45815</v>
      </c>
      <c r="D35" s="499">
        <v>45822</v>
      </c>
      <c r="E35" s="498" t="s">
        <v>4477</v>
      </c>
      <c r="G35" s="500" t="s">
        <v>4478</v>
      </c>
      <c r="H35" s="498" t="s">
        <v>4479</v>
      </c>
      <c r="I35" s="498" t="s">
        <v>4480</v>
      </c>
      <c r="J35" s="498" t="s">
        <v>51</v>
      </c>
      <c r="L35" s="688" t="s">
        <v>4481</v>
      </c>
      <c r="M35" s="868" t="s">
        <v>4482</v>
      </c>
      <c r="N35" s="502">
        <v>1690</v>
      </c>
      <c r="P35" s="498" t="s">
        <v>3338</v>
      </c>
      <c r="Q35" s="1490">
        <v>1</v>
      </c>
      <c r="R35" s="500">
        <v>2</v>
      </c>
      <c r="S35" s="500">
        <v>1</v>
      </c>
      <c r="T35" s="1804" t="s">
        <v>4476</v>
      </c>
      <c r="U35" s="504">
        <v>45744</v>
      </c>
      <c r="V35" s="498" t="s">
        <v>1769</v>
      </c>
      <c r="X35" s="1487">
        <v>1370</v>
      </c>
    </row>
    <row r="36" spans="1:24" s="498" customFormat="1" ht="10.199999999999999">
      <c r="A36" s="498" t="s">
        <v>4314</v>
      </c>
      <c r="B36" s="498" t="s">
        <v>4315</v>
      </c>
      <c r="C36" s="499">
        <v>45822</v>
      </c>
      <c r="D36" s="499">
        <v>45836</v>
      </c>
      <c r="E36" s="498" t="s">
        <v>4316</v>
      </c>
      <c r="G36" s="500" t="s">
        <v>4317</v>
      </c>
      <c r="H36" s="498" t="s">
        <v>4318</v>
      </c>
      <c r="I36" s="498" t="s">
        <v>4319</v>
      </c>
      <c r="J36" s="498" t="s">
        <v>51</v>
      </c>
      <c r="L36" s="688" t="s">
        <v>4320</v>
      </c>
      <c r="M36" s="868" t="s">
        <v>4321</v>
      </c>
      <c r="N36" s="502">
        <f>1990*2</f>
        <v>3980</v>
      </c>
      <c r="P36" s="498" t="s">
        <v>4527</v>
      </c>
      <c r="Q36" s="1490">
        <v>2</v>
      </c>
      <c r="R36" s="500">
        <v>2</v>
      </c>
      <c r="S36" s="500">
        <v>2</v>
      </c>
      <c r="T36" s="1804" t="s">
        <v>4388</v>
      </c>
      <c r="U36" s="504">
        <v>45695</v>
      </c>
      <c r="X36" s="1487">
        <f>3980-995+2*3*14+70</f>
        <v>3139</v>
      </c>
    </row>
    <row r="37" spans="1:24" s="8" customFormat="1" ht="10.199999999999999">
      <c r="A37" s="9"/>
      <c r="B37" s="856"/>
      <c r="C37" s="1114"/>
      <c r="E37" s="1114"/>
      <c r="G37" s="857"/>
      <c r="H37" s="856"/>
      <c r="I37" s="856"/>
      <c r="J37" s="856"/>
      <c r="K37" s="856"/>
      <c r="L37" s="856"/>
      <c r="M37" s="856"/>
      <c r="N37" s="856"/>
      <c r="O37" s="856"/>
      <c r="P37" s="856"/>
      <c r="Q37" s="858"/>
      <c r="R37" s="857"/>
      <c r="S37" s="857"/>
      <c r="T37" s="858"/>
      <c r="U37" s="856"/>
      <c r="V37" s="856"/>
      <c r="W37" s="856"/>
      <c r="X37" s="439"/>
    </row>
    <row r="38" spans="1:24" s="498" customFormat="1" ht="10.199999999999999">
      <c r="A38" s="498" t="s">
        <v>4198</v>
      </c>
      <c r="B38" s="498" t="s">
        <v>4199</v>
      </c>
      <c r="C38" s="499">
        <v>45843</v>
      </c>
      <c r="D38" s="499">
        <v>45863</v>
      </c>
      <c r="E38" s="498" t="s">
        <v>4200</v>
      </c>
      <c r="G38" s="500" t="s">
        <v>4201</v>
      </c>
      <c r="H38" s="498" t="s">
        <v>4202</v>
      </c>
      <c r="I38" s="498" t="s">
        <v>18</v>
      </c>
      <c r="J38" s="498" t="s">
        <v>51</v>
      </c>
      <c r="L38" s="688" t="s">
        <v>4203</v>
      </c>
      <c r="M38" s="868" t="s">
        <v>4204</v>
      </c>
      <c r="N38" s="502">
        <f>2490*3+70</f>
        <v>7540</v>
      </c>
      <c r="P38" s="498" t="s">
        <v>4205</v>
      </c>
      <c r="Q38" s="1490">
        <v>3</v>
      </c>
      <c r="R38" s="500">
        <v>3</v>
      </c>
      <c r="S38" s="500">
        <v>2</v>
      </c>
      <c r="T38" s="1804" t="s">
        <v>4222</v>
      </c>
      <c r="U38" s="504">
        <v>45582</v>
      </c>
      <c r="V38" s="498" t="s">
        <v>1769</v>
      </c>
      <c r="X38" s="1490"/>
    </row>
    <row r="39" spans="1:24" s="498" customFormat="1" ht="10.199999999999999">
      <c r="A39" s="498" t="s">
        <v>4465</v>
      </c>
      <c r="B39" s="498" t="s">
        <v>4466</v>
      </c>
      <c r="C39" s="499">
        <v>45864</v>
      </c>
      <c r="D39" s="499">
        <v>45871</v>
      </c>
      <c r="E39" s="498" t="s">
        <v>4467</v>
      </c>
      <c r="G39" s="500">
        <v>62232</v>
      </c>
      <c r="H39" s="498" t="s">
        <v>4468</v>
      </c>
      <c r="I39" s="498" t="s">
        <v>23</v>
      </c>
      <c r="J39" s="498" t="s">
        <v>19</v>
      </c>
      <c r="L39" s="688" t="s">
        <v>4469</v>
      </c>
      <c r="M39" s="868" t="s">
        <v>4470</v>
      </c>
      <c r="N39" s="502">
        <v>2490</v>
      </c>
      <c r="P39" s="498" t="s">
        <v>4582</v>
      </c>
      <c r="Q39" s="1490">
        <v>1</v>
      </c>
      <c r="R39" s="500">
        <v>2</v>
      </c>
      <c r="S39" s="500">
        <v>2</v>
      </c>
      <c r="T39" s="1804" t="s">
        <v>4473</v>
      </c>
      <c r="U39" s="504">
        <v>45742</v>
      </c>
      <c r="V39" s="498" t="s">
        <v>1665</v>
      </c>
      <c r="X39" s="1490"/>
    </row>
    <row r="40" spans="1:24" s="498" customFormat="1" ht="10.199999999999999">
      <c r="A40" s="498" t="s">
        <v>4380</v>
      </c>
      <c r="B40" s="498" t="s">
        <v>4392</v>
      </c>
      <c r="C40" s="499">
        <v>45871</v>
      </c>
      <c r="D40" s="499">
        <v>45885</v>
      </c>
      <c r="E40" s="498" t="s">
        <v>4381</v>
      </c>
      <c r="G40" s="500" t="s">
        <v>4382</v>
      </c>
      <c r="H40" s="498" t="s">
        <v>2499</v>
      </c>
      <c r="I40" s="498" t="s">
        <v>18</v>
      </c>
      <c r="J40" s="498" t="s">
        <v>51</v>
      </c>
      <c r="L40" s="688" t="s">
        <v>4383</v>
      </c>
      <c r="M40" s="868" t="s">
        <v>4384</v>
      </c>
      <c r="N40" s="502">
        <f>2490*2+70+3*14</f>
        <v>5092</v>
      </c>
      <c r="P40" s="498" t="s">
        <v>4385</v>
      </c>
      <c r="Q40" s="1490">
        <v>2</v>
      </c>
      <c r="R40" s="500" t="s">
        <v>4386</v>
      </c>
      <c r="S40" s="500">
        <v>1</v>
      </c>
      <c r="T40" s="1804" t="s">
        <v>4393</v>
      </c>
      <c r="U40" s="504">
        <v>45703</v>
      </c>
      <c r="V40" s="498" t="s">
        <v>1665</v>
      </c>
      <c r="X40" s="1490"/>
    </row>
    <row r="41" spans="1:24" s="498" customFormat="1" ht="11.4">
      <c r="A41" s="498" t="s">
        <v>4639</v>
      </c>
      <c r="B41" s="498" t="s">
        <v>4640</v>
      </c>
      <c r="C41" s="499">
        <v>45885</v>
      </c>
      <c r="D41" s="499">
        <v>45892</v>
      </c>
      <c r="E41" s="2057" t="s">
        <v>4641</v>
      </c>
      <c r="G41" s="500" t="s">
        <v>4643</v>
      </c>
      <c r="H41" s="2057" t="s">
        <v>4642</v>
      </c>
      <c r="I41" s="498" t="s">
        <v>18</v>
      </c>
      <c r="J41" s="498" t="s">
        <v>51</v>
      </c>
      <c r="L41" s="688" t="s">
        <v>4644</v>
      </c>
      <c r="M41" s="868" t="s">
        <v>4645</v>
      </c>
      <c r="N41" s="502">
        <f>1245+70</f>
        <v>1315</v>
      </c>
      <c r="P41" s="498" t="s">
        <v>2674</v>
      </c>
      <c r="Q41" s="1490">
        <v>1</v>
      </c>
      <c r="R41" s="500">
        <v>2</v>
      </c>
      <c r="S41" s="500">
        <v>1</v>
      </c>
      <c r="T41" s="1804"/>
      <c r="U41" s="504">
        <v>45881</v>
      </c>
      <c r="V41" s="498" t="s">
        <v>1477</v>
      </c>
      <c r="W41" s="498" t="s">
        <v>4646</v>
      </c>
      <c r="X41" s="1490"/>
    </row>
    <row r="42" spans="1:24" s="498" customFormat="1" ht="10.199999999999999">
      <c r="A42" s="498" t="s">
        <v>4472</v>
      </c>
      <c r="B42" s="498" t="s">
        <v>4456</v>
      </c>
      <c r="C42" s="499">
        <v>45892</v>
      </c>
      <c r="D42" s="499">
        <v>45906</v>
      </c>
      <c r="E42" s="498" t="s">
        <v>4457</v>
      </c>
      <c r="G42" s="500" t="s">
        <v>4458</v>
      </c>
      <c r="H42" s="498" t="s">
        <v>4459</v>
      </c>
      <c r="I42" s="498" t="s">
        <v>54</v>
      </c>
      <c r="J42" s="498" t="s">
        <v>19</v>
      </c>
      <c r="L42" s="688" t="s">
        <v>4460</v>
      </c>
      <c r="M42" s="868" t="s">
        <v>4461</v>
      </c>
      <c r="N42" s="502">
        <f>2490+2190</f>
        <v>4680</v>
      </c>
      <c r="P42" s="498" t="s">
        <v>4462</v>
      </c>
      <c r="Q42" s="1490">
        <v>2</v>
      </c>
      <c r="R42" s="500">
        <v>5</v>
      </c>
      <c r="S42" s="500">
        <v>1</v>
      </c>
      <c r="T42" s="1804" t="s">
        <v>4471</v>
      </c>
      <c r="U42" s="504">
        <v>45728</v>
      </c>
      <c r="V42" s="498" t="s">
        <v>1769</v>
      </c>
      <c r="X42" s="1490"/>
    </row>
    <row r="43" spans="1:24" s="498" customFormat="1" ht="10.199999999999999">
      <c r="A43" s="498" t="s">
        <v>4438</v>
      </c>
      <c r="B43" s="498" t="s">
        <v>4439</v>
      </c>
      <c r="C43" s="499">
        <v>45906</v>
      </c>
      <c r="D43" s="499">
        <v>45920</v>
      </c>
      <c r="E43" s="498" t="s">
        <v>4440</v>
      </c>
      <c r="G43" s="500" t="s">
        <v>4441</v>
      </c>
      <c r="H43" s="498" t="s">
        <v>4442</v>
      </c>
      <c r="I43" s="498" t="s">
        <v>18</v>
      </c>
      <c r="J43" s="498" t="s">
        <v>51</v>
      </c>
      <c r="L43" s="688" t="s">
        <v>4443</v>
      </c>
      <c r="M43" s="868" t="s">
        <v>4444</v>
      </c>
      <c r="N43" s="359">
        <f>2090+1590+70</f>
        <v>3750</v>
      </c>
      <c r="P43" s="498" t="s">
        <v>4445</v>
      </c>
      <c r="Q43" s="1490">
        <v>2</v>
      </c>
      <c r="R43" s="500">
        <v>2</v>
      </c>
      <c r="S43" s="500">
        <v>1</v>
      </c>
      <c r="T43" s="1804" t="s">
        <v>4463</v>
      </c>
      <c r="U43" s="504">
        <v>45720</v>
      </c>
      <c r="V43" s="498" t="s">
        <v>1665</v>
      </c>
      <c r="X43" s="1487">
        <f>N43-920</f>
        <v>2830</v>
      </c>
    </row>
    <row r="44" spans="1:24" s="498" customFormat="1">
      <c r="A44" s="498" t="s">
        <v>4613</v>
      </c>
      <c r="B44" s="498" t="s">
        <v>4614</v>
      </c>
      <c r="C44" s="499">
        <v>45920</v>
      </c>
      <c r="D44" s="499">
        <v>45927</v>
      </c>
      <c r="G44" s="500"/>
      <c r="I44" s="498" t="s">
        <v>18</v>
      </c>
      <c r="J44" s="498" t="s">
        <v>51</v>
      </c>
      <c r="L44" s="688" t="s">
        <v>4615</v>
      </c>
      <c r="M44" s="501" t="s">
        <v>4616</v>
      </c>
      <c r="N44" s="359">
        <f>1590</f>
        <v>1590</v>
      </c>
      <c r="P44" s="498" t="s">
        <v>4617</v>
      </c>
      <c r="Q44" s="1490">
        <v>1</v>
      </c>
      <c r="R44" s="500">
        <v>2</v>
      </c>
      <c r="S44" s="500">
        <v>2</v>
      </c>
      <c r="T44" s="1804" t="s">
        <v>4620</v>
      </c>
      <c r="U44" s="504">
        <v>45860</v>
      </c>
      <c r="V44" s="498" t="s">
        <v>1477</v>
      </c>
      <c r="X44" s="1487">
        <v>1200</v>
      </c>
    </row>
    <row r="45" spans="1:24" s="8" customFormat="1" ht="10.199999999999999">
      <c r="C45" s="31"/>
      <c r="D45" s="31"/>
      <c r="G45" s="132"/>
      <c r="L45" s="15"/>
      <c r="M45" s="1103"/>
      <c r="N45" s="684"/>
      <c r="Q45" s="439"/>
      <c r="R45" s="132"/>
      <c r="S45" s="132"/>
      <c r="T45" s="1928"/>
      <c r="U45" s="86"/>
      <c r="X45" s="439"/>
    </row>
    <row r="46" spans="1:24" s="498" customFormat="1">
      <c r="A46" s="498" t="s">
        <v>4572</v>
      </c>
      <c r="B46" s="498" t="s">
        <v>4573</v>
      </c>
      <c r="C46" s="499">
        <v>45943</v>
      </c>
      <c r="D46" s="499">
        <v>45952</v>
      </c>
      <c r="E46" s="498" t="s">
        <v>4574</v>
      </c>
      <c r="G46" s="500" t="s">
        <v>4575</v>
      </c>
      <c r="H46" s="498" t="s">
        <v>4576</v>
      </c>
      <c r="I46" s="498" t="s">
        <v>18</v>
      </c>
      <c r="J46" s="498" t="s">
        <v>51</v>
      </c>
      <c r="L46" s="688" t="s">
        <v>4577</v>
      </c>
      <c r="M46" s="501" t="s">
        <v>4578</v>
      </c>
      <c r="N46" s="502">
        <v>2070</v>
      </c>
      <c r="P46" s="498" t="s">
        <v>4690</v>
      </c>
      <c r="Q46" s="1490">
        <v>2</v>
      </c>
      <c r="R46" s="500">
        <v>4</v>
      </c>
      <c r="S46" s="500">
        <v>2</v>
      </c>
      <c r="T46" s="1804"/>
      <c r="U46" s="504">
        <v>45844</v>
      </c>
      <c r="V46" s="498" t="s">
        <v>1338</v>
      </c>
      <c r="W46" s="498" t="s">
        <v>1217</v>
      </c>
      <c r="X46" s="1490"/>
    </row>
    <row r="47" spans="1:24" s="8" customFormat="1" ht="10.199999999999999">
      <c r="C47" s="31"/>
      <c r="D47" s="31"/>
      <c r="G47" s="132"/>
      <c r="L47" s="15"/>
      <c r="M47" s="1103"/>
      <c r="N47" s="684"/>
      <c r="Q47" s="439"/>
      <c r="R47" s="132"/>
      <c r="S47" s="132"/>
      <c r="T47" s="1928"/>
      <c r="U47" s="86"/>
      <c r="X47" s="439"/>
    </row>
    <row r="48" spans="1:24" s="498" customFormat="1">
      <c r="A48" s="498" t="s">
        <v>4341</v>
      </c>
      <c r="B48" s="498" t="s">
        <v>4377</v>
      </c>
      <c r="C48" s="499">
        <v>46018</v>
      </c>
      <c r="D48" s="499">
        <v>46025</v>
      </c>
      <c r="E48" s="498" t="s">
        <v>4342</v>
      </c>
      <c r="G48" s="500" t="s">
        <v>4344</v>
      </c>
      <c r="H48" s="498" t="s">
        <v>4343</v>
      </c>
      <c r="I48" s="498" t="s">
        <v>18</v>
      </c>
      <c r="J48" s="498" t="s">
        <v>51</v>
      </c>
      <c r="L48" s="688" t="s">
        <v>4345</v>
      </c>
      <c r="M48" s="501" t="s">
        <v>4346</v>
      </c>
      <c r="N48" s="502">
        <f>1390+70+2*3*7</f>
        <v>1502</v>
      </c>
      <c r="P48" s="498" t="s">
        <v>4839</v>
      </c>
      <c r="Q48" s="1490">
        <v>1</v>
      </c>
      <c r="R48" s="500">
        <v>2</v>
      </c>
      <c r="S48" s="500">
        <v>2</v>
      </c>
      <c r="T48" s="1804" t="s">
        <v>4378</v>
      </c>
      <c r="U48" s="504">
        <v>45698</v>
      </c>
      <c r="V48" s="498" t="s">
        <v>1665</v>
      </c>
      <c r="X48" s="1490"/>
    </row>
    <row r="49" spans="1:24" s="8" customFormat="1" ht="10.8" thickBot="1">
      <c r="C49" s="31"/>
      <c r="D49" s="31"/>
      <c r="E49" s="404"/>
      <c r="G49" s="132"/>
      <c r="L49" s="15"/>
      <c r="M49" s="1103"/>
      <c r="N49" s="439"/>
      <c r="Q49" s="439"/>
      <c r="R49" s="132"/>
      <c r="S49" s="132"/>
      <c r="T49" s="916"/>
      <c r="U49" s="86"/>
      <c r="X49" s="439"/>
    </row>
    <row r="50" spans="1:24" s="8" customFormat="1" ht="10.8" thickBot="1">
      <c r="A50" s="18" t="s">
        <v>4029</v>
      </c>
      <c r="B50" s="767">
        <f>SUM(N31:N49)</f>
        <v>40381</v>
      </c>
      <c r="C50" s="933">
        <f>B50/B18</f>
        <v>1.4297702085472506</v>
      </c>
      <c r="D50" s="791" t="s">
        <v>4045</v>
      </c>
      <c r="E50" s="1577"/>
      <c r="F50" s="7"/>
      <c r="G50" s="133"/>
      <c r="I50" s="7" t="s">
        <v>4026</v>
      </c>
      <c r="J50" s="7" t="s">
        <v>3999</v>
      </c>
      <c r="K50" s="7"/>
      <c r="L50" s="864"/>
      <c r="M50" s="7"/>
      <c r="N50" s="1135"/>
      <c r="O50" s="7"/>
      <c r="Q50" s="439"/>
      <c r="R50" s="133"/>
      <c r="S50" s="133"/>
      <c r="T50" s="1135"/>
      <c r="X50" s="439"/>
    </row>
    <row r="51" spans="1:24" s="8" customFormat="1" ht="15" thickBot="1">
      <c r="A51" s="768" t="s">
        <v>463</v>
      </c>
      <c r="B51" s="922">
        <f>SUM(Q31:Q54)</f>
        <v>21</v>
      </c>
      <c r="C51" s="1576">
        <f>B50/B51</f>
        <v>1922.9047619047619</v>
      </c>
      <c r="D51" s="17" t="s">
        <v>3247</v>
      </c>
      <c r="E51" s="1127"/>
      <c r="F51" s="7"/>
      <c r="G51" s="133"/>
      <c r="H51" s="407"/>
      <c r="I51" s="7" t="s">
        <v>3247</v>
      </c>
      <c r="J51" s="8" t="s">
        <v>3998</v>
      </c>
      <c r="K51" s="404"/>
      <c r="N51" s="1135"/>
      <c r="O51" s="7"/>
      <c r="Q51" s="439"/>
      <c r="R51" s="133"/>
      <c r="S51" s="133"/>
      <c r="T51" s="1135"/>
      <c r="X51" s="439"/>
    </row>
    <row r="52" spans="1:24" s="8" customFormat="1" ht="10.8" thickBot="1">
      <c r="A52" s="7"/>
      <c r="B52" s="7"/>
      <c r="C52" s="29"/>
      <c r="D52" s="17" t="s">
        <v>4798</v>
      </c>
      <c r="E52" s="1127">
        <f>56*11+133</f>
        <v>749</v>
      </c>
      <c r="F52" s="7"/>
      <c r="G52" s="133"/>
      <c r="I52" s="7" t="s">
        <v>3248</v>
      </c>
      <c r="J52" s="8" t="s">
        <v>4223</v>
      </c>
      <c r="K52" s="404"/>
      <c r="L52" s="495"/>
      <c r="N52" s="1135"/>
      <c r="O52" s="7"/>
      <c r="Q52" s="439"/>
      <c r="R52" s="133"/>
      <c r="S52" s="133"/>
      <c r="T52" s="1135"/>
      <c r="X52" s="439"/>
    </row>
    <row r="53" spans="1:24" s="8" customFormat="1" ht="10.8" thickBot="1">
      <c r="A53" s="18" t="s">
        <v>464</v>
      </c>
      <c r="B53" s="851">
        <f>12*2000</f>
        <v>24000</v>
      </c>
      <c r="C53" s="29"/>
      <c r="D53" s="17" t="s">
        <v>3817</v>
      </c>
      <c r="E53" s="1127"/>
      <c r="F53" s="7"/>
      <c r="G53" s="133"/>
      <c r="H53" s="495"/>
      <c r="I53" s="7"/>
      <c r="J53" s="7"/>
      <c r="K53" s="404"/>
      <c r="L53" s="404"/>
      <c r="N53" s="439"/>
      <c r="O53" s="7"/>
      <c r="Q53" s="439"/>
      <c r="R53" s="133"/>
      <c r="S53" s="133"/>
      <c r="T53" s="1135"/>
      <c r="X53" s="439"/>
    </row>
    <row r="54" spans="1:24" s="8" customFormat="1" ht="10.8" thickBot="1">
      <c r="A54" s="852" t="s">
        <v>574</v>
      </c>
      <c r="B54" s="853">
        <f>E50</f>
        <v>0</v>
      </c>
      <c r="C54" s="29"/>
      <c r="D54" s="17" t="s">
        <v>577</v>
      </c>
      <c r="E54" s="1127"/>
      <c r="F54" s="7"/>
      <c r="G54" s="133"/>
      <c r="H54" s="495"/>
      <c r="I54" s="7"/>
      <c r="J54" s="7"/>
      <c r="K54" s="49"/>
      <c r="L54" s="49"/>
      <c r="M54" s="1111"/>
      <c r="N54" s="1135"/>
      <c r="O54" s="7"/>
      <c r="Q54" s="439"/>
      <c r="R54" s="133"/>
      <c r="S54" s="133"/>
      <c r="T54" s="1135"/>
      <c r="X54" s="439"/>
    </row>
    <row r="55" spans="1:24" s="8" customFormat="1" ht="10.199999999999999">
      <c r="A55" s="510" t="s">
        <v>1534</v>
      </c>
      <c r="B55" s="854">
        <f>B50-B53-B54</f>
        <v>16381</v>
      </c>
      <c r="C55" s="29"/>
      <c r="D55" s="17" t="s">
        <v>3360</v>
      </c>
      <c r="E55" s="1127"/>
      <c r="F55" s="7"/>
      <c r="G55" s="133"/>
      <c r="H55" s="495"/>
      <c r="I55" s="7"/>
      <c r="J55" s="7"/>
      <c r="N55" s="1135"/>
      <c r="O55" s="7"/>
      <c r="Q55" s="439"/>
      <c r="R55" s="133"/>
      <c r="S55" s="133"/>
      <c r="T55" s="1135"/>
      <c r="X55" s="439"/>
    </row>
    <row r="56" spans="1:24" s="8" customFormat="1" ht="10.199999999999999">
      <c r="D56" s="10" t="s">
        <v>2525</v>
      </c>
      <c r="E56" s="1127"/>
      <c r="N56" s="439"/>
      <c r="Q56" s="439"/>
      <c r="T56" s="439"/>
      <c r="X56" s="439"/>
    </row>
    <row r="57" spans="1:24" s="8" customFormat="1" ht="10.199999999999999">
      <c r="D57" s="10" t="s">
        <v>3999</v>
      </c>
      <c r="E57" s="1127">
        <f>30*12</f>
        <v>360</v>
      </c>
      <c r="M57" s="7"/>
      <c r="N57" s="439"/>
      <c r="Q57" s="439"/>
      <c r="T57" s="439"/>
      <c r="W57" s="355" t="s">
        <v>4726</v>
      </c>
      <c r="X57" s="1487">
        <f>SUM(X33:X48)</f>
        <v>9766.5</v>
      </c>
    </row>
    <row r="58" spans="1:24" s="8" customFormat="1" ht="10.199999999999999">
      <c r="D58" s="10" t="s">
        <v>3255</v>
      </c>
      <c r="E58" s="1127">
        <v>250.97</v>
      </c>
      <c r="M58" s="7"/>
      <c r="N58" s="439"/>
      <c r="Q58" s="439"/>
      <c r="T58" s="439"/>
      <c r="X58" s="439"/>
    </row>
    <row r="59" spans="1:24" s="8" customFormat="1" ht="10.199999999999999">
      <c r="D59" s="10" t="s">
        <v>4309</v>
      </c>
      <c r="E59" s="1127">
        <f>87*12</f>
        <v>1044</v>
      </c>
      <c r="N59" s="439"/>
      <c r="Q59" s="439"/>
      <c r="X59" s="439"/>
    </row>
    <row r="60" spans="1:24" s="8" customFormat="1" ht="10.199999999999999">
      <c r="D60" s="10" t="s">
        <v>3777</v>
      </c>
      <c r="E60" s="1127"/>
      <c r="N60" s="439"/>
      <c r="Q60" s="439"/>
      <c r="T60" s="439"/>
      <c r="X60" s="439"/>
    </row>
    <row r="61" spans="1:24" ht="13.8" thickBot="1">
      <c r="D61" s="519" t="s">
        <v>3778</v>
      </c>
      <c r="E61" s="1226"/>
    </row>
    <row r="63" spans="1:24">
      <c r="N63" s="379"/>
    </row>
    <row r="64" spans="1:24">
      <c r="N64" s="379"/>
    </row>
    <row r="65" spans="1:26">
      <c r="N65" s="379"/>
    </row>
    <row r="66" spans="1:26">
      <c r="N66" s="379"/>
    </row>
    <row r="67" spans="1:26" s="8" customFormat="1" ht="10.199999999999999">
      <c r="A67" s="9" t="s">
        <v>4447</v>
      </c>
      <c r="B67" s="856"/>
      <c r="C67" s="1114"/>
      <c r="E67" s="1114"/>
      <c r="G67" s="857"/>
      <c r="H67" s="856"/>
      <c r="I67" s="856"/>
      <c r="J67" s="856"/>
      <c r="K67" s="856"/>
      <c r="L67" s="856"/>
      <c r="M67" s="856"/>
      <c r="N67" s="858"/>
      <c r="O67" s="856"/>
      <c r="P67" s="856"/>
      <c r="Q67" s="858"/>
      <c r="R67" s="857"/>
      <c r="S67" s="857"/>
      <c r="T67" s="858"/>
      <c r="U67" s="856"/>
      <c r="V67" s="856"/>
      <c r="W67" s="856"/>
      <c r="X67" s="439"/>
    </row>
    <row r="68" spans="1:26" s="8" customFormat="1" ht="10.199999999999999">
      <c r="A68" s="9"/>
      <c r="B68" s="856"/>
      <c r="C68" s="1114"/>
      <c r="E68" s="1114"/>
      <c r="G68" s="857"/>
      <c r="H68" s="856"/>
      <c r="I68" s="856"/>
      <c r="J68" s="856"/>
      <c r="K68" s="856"/>
      <c r="L68" s="856"/>
      <c r="M68" s="856"/>
      <c r="N68" s="858"/>
      <c r="O68" s="856"/>
      <c r="P68" s="856"/>
      <c r="Q68" s="858"/>
      <c r="R68" s="857"/>
      <c r="S68" s="857"/>
      <c r="T68" s="858"/>
      <c r="U68" s="856"/>
      <c r="V68" s="856"/>
      <c r="W68" s="856"/>
      <c r="X68" s="439"/>
    </row>
    <row r="69" spans="1:26" s="498" customFormat="1" ht="12" customHeight="1">
      <c r="A69" s="498" t="s">
        <v>4835</v>
      </c>
      <c r="B69" s="498" t="s">
        <v>4609</v>
      </c>
      <c r="C69" s="499">
        <v>46046</v>
      </c>
      <c r="D69" s="499">
        <v>46053</v>
      </c>
      <c r="G69" s="500"/>
      <c r="I69" s="498" t="s">
        <v>18</v>
      </c>
      <c r="J69" s="498" t="s">
        <v>51</v>
      </c>
      <c r="L69" s="688" t="s">
        <v>4610</v>
      </c>
      <c r="M69" s="868" t="s">
        <v>4611</v>
      </c>
      <c r="N69" s="502">
        <f>1090+70+7*3*2</f>
        <v>1202</v>
      </c>
      <c r="P69" s="498" t="s">
        <v>4882</v>
      </c>
      <c r="Q69" s="1490">
        <v>1</v>
      </c>
      <c r="R69" s="500">
        <v>2</v>
      </c>
      <c r="S69" s="500">
        <v>2</v>
      </c>
      <c r="T69" s="1804" t="s">
        <v>4612</v>
      </c>
      <c r="U69" s="504">
        <v>45858</v>
      </c>
      <c r="V69" s="498" t="s">
        <v>1477</v>
      </c>
      <c r="W69" s="498" t="s">
        <v>1154</v>
      </c>
      <c r="X69" s="1490"/>
    </row>
    <row r="70" spans="1:26" s="8" customFormat="1" ht="12" customHeight="1">
      <c r="C70" s="31"/>
      <c r="D70" s="31"/>
      <c r="G70" s="132"/>
      <c r="L70" s="15"/>
      <c r="M70" s="1103"/>
      <c r="N70" s="684"/>
      <c r="Q70" s="439"/>
      <c r="R70" s="132"/>
      <c r="S70" s="132"/>
      <c r="T70" s="1928"/>
      <c r="U70" s="86"/>
      <c r="X70" s="439"/>
    </row>
    <row r="71" spans="1:26" s="2102" customFormat="1" ht="12" customHeight="1">
      <c r="C71" s="2103"/>
      <c r="D71" s="2103"/>
      <c r="G71" s="2104"/>
      <c r="L71" s="2105"/>
      <c r="M71" s="2140"/>
      <c r="N71" s="2107"/>
      <c r="Q71" s="2108"/>
      <c r="R71" s="2104"/>
      <c r="S71" s="2104"/>
      <c r="T71" s="2109"/>
      <c r="U71" s="2110"/>
      <c r="X71" s="2108"/>
    </row>
    <row r="72" spans="1:26" s="498" customFormat="1" ht="10.199999999999999">
      <c r="A72" s="498" t="s">
        <v>4855</v>
      </c>
      <c r="B72" s="498" t="s">
        <v>2944</v>
      </c>
      <c r="C72" s="499">
        <v>46109</v>
      </c>
      <c r="D72" s="499">
        <v>46116</v>
      </c>
      <c r="E72" s="498" t="s">
        <v>4856</v>
      </c>
      <c r="G72" s="500" t="s">
        <v>4857</v>
      </c>
      <c r="H72" s="498" t="s">
        <v>2474</v>
      </c>
      <c r="I72" s="498" t="s">
        <v>18</v>
      </c>
      <c r="J72" s="498" t="s">
        <v>51</v>
      </c>
      <c r="L72" s="688" t="s">
        <v>4858</v>
      </c>
      <c r="M72" s="868" t="s">
        <v>4859</v>
      </c>
      <c r="N72" s="502">
        <f>1190+70+2*3*7</f>
        <v>1302</v>
      </c>
      <c r="P72" s="498" t="s">
        <v>1192</v>
      </c>
      <c r="Q72" s="1490">
        <v>1</v>
      </c>
      <c r="R72" s="500">
        <v>2</v>
      </c>
      <c r="S72" s="500">
        <v>2</v>
      </c>
      <c r="T72" s="1804" t="s">
        <v>4872</v>
      </c>
      <c r="U72" s="504">
        <v>46025</v>
      </c>
      <c r="V72" s="498" t="s">
        <v>1477</v>
      </c>
      <c r="X72" s="1490"/>
    </row>
    <row r="73" spans="1:26" s="355" customFormat="1" ht="12" customHeight="1">
      <c r="A73" s="498" t="s">
        <v>4940</v>
      </c>
      <c r="B73" s="498" t="s">
        <v>1772</v>
      </c>
      <c r="C73" s="499">
        <v>46116</v>
      </c>
      <c r="D73" s="499">
        <v>46123</v>
      </c>
      <c r="E73" s="498" t="s">
        <v>4941</v>
      </c>
      <c r="F73" s="498"/>
      <c r="G73" s="500" t="s">
        <v>4942</v>
      </c>
      <c r="H73" s="498" t="s">
        <v>4943</v>
      </c>
      <c r="I73" s="498" t="s">
        <v>18</v>
      </c>
      <c r="J73" s="498" t="s">
        <v>51</v>
      </c>
      <c r="K73" s="498"/>
      <c r="L73" s="688" t="s">
        <v>4944</v>
      </c>
      <c r="M73" s="868" t="s">
        <v>4945</v>
      </c>
      <c r="N73" s="359">
        <v>1390</v>
      </c>
      <c r="P73" s="1787" t="s">
        <v>4985</v>
      </c>
      <c r="Q73" s="1921">
        <v>1</v>
      </c>
      <c r="R73" s="1789">
        <v>2</v>
      </c>
      <c r="S73" s="1789">
        <v>2</v>
      </c>
      <c r="T73" s="2141" t="s">
        <v>4956</v>
      </c>
      <c r="U73" s="1794">
        <v>46078</v>
      </c>
      <c r="V73" s="1787" t="s">
        <v>1665</v>
      </c>
      <c r="W73" s="1787" t="s">
        <v>1154</v>
      </c>
      <c r="X73" s="1504">
        <v>1155</v>
      </c>
      <c r="Y73" s="1787"/>
    </row>
    <row r="74" spans="1:26" s="8" customFormat="1" ht="10.199999999999999">
      <c r="C74" s="31"/>
      <c r="D74" s="31"/>
      <c r="G74" s="132"/>
      <c r="L74" s="15"/>
      <c r="M74" s="1103"/>
      <c r="N74" s="684"/>
      <c r="Q74" s="439"/>
      <c r="R74" s="132"/>
      <c r="S74" s="132"/>
      <c r="T74" s="1928"/>
      <c r="U74" s="86"/>
      <c r="X74" s="439"/>
    </row>
    <row r="75" spans="1:26" s="498" customFormat="1" ht="12.6" customHeight="1">
      <c r="A75" s="498" t="s">
        <v>4701</v>
      </c>
      <c r="B75" s="498" t="s">
        <v>4702</v>
      </c>
      <c r="C75" s="499">
        <v>46151</v>
      </c>
      <c r="D75" s="499">
        <v>46165</v>
      </c>
      <c r="E75" s="498" t="s">
        <v>4703</v>
      </c>
      <c r="G75" s="500" t="s">
        <v>4704</v>
      </c>
      <c r="H75" s="498" t="s">
        <v>4705</v>
      </c>
      <c r="I75" s="498" t="s">
        <v>18</v>
      </c>
      <c r="J75" s="498" t="s">
        <v>51</v>
      </c>
      <c r="L75" s="688" t="s">
        <v>4706</v>
      </c>
      <c r="M75" s="501" t="s">
        <v>4707</v>
      </c>
      <c r="N75" s="502">
        <f>2576+800</f>
        <v>3376</v>
      </c>
      <c r="P75" s="498" t="s">
        <v>4999</v>
      </c>
      <c r="Q75" s="1490">
        <v>2</v>
      </c>
      <c r="R75" s="500">
        <v>2</v>
      </c>
      <c r="S75" s="500">
        <v>3</v>
      </c>
      <c r="T75" s="1804" t="s">
        <v>4732</v>
      </c>
      <c r="U75" s="504">
        <v>45923</v>
      </c>
      <c r="V75" s="498" t="s">
        <v>1477</v>
      </c>
      <c r="W75" s="498" t="s">
        <v>1154</v>
      </c>
      <c r="X75" s="1490"/>
    </row>
    <row r="76" spans="1:26" s="498" customFormat="1" ht="12.6" customHeight="1">
      <c r="A76" s="498" t="s">
        <v>4448</v>
      </c>
      <c r="B76" s="498" t="s">
        <v>4449</v>
      </c>
      <c r="C76" s="499">
        <v>46165</v>
      </c>
      <c r="D76" s="499">
        <v>46179</v>
      </c>
      <c r="E76" s="498" t="s">
        <v>4450</v>
      </c>
      <c r="G76" s="500" t="s">
        <v>4451</v>
      </c>
      <c r="H76" s="498" t="s">
        <v>4452</v>
      </c>
      <c r="I76" s="498" t="s">
        <v>18</v>
      </c>
      <c r="J76" s="498" t="s">
        <v>51</v>
      </c>
      <c r="L76" s="688" t="s">
        <v>4453</v>
      </c>
      <c r="M76" s="501" t="s">
        <v>4454</v>
      </c>
      <c r="N76" s="502">
        <f>1590*2+70+42</f>
        <v>3292</v>
      </c>
      <c r="P76" s="498" t="s">
        <v>5056</v>
      </c>
      <c r="Q76" s="1490">
        <v>2</v>
      </c>
      <c r="R76" s="500">
        <v>4</v>
      </c>
      <c r="S76" s="500">
        <v>1</v>
      </c>
      <c r="T76" s="1804" t="s">
        <v>4464</v>
      </c>
      <c r="U76" s="504" t="s">
        <v>4455</v>
      </c>
      <c r="X76" s="1490"/>
    </row>
    <row r="77" spans="1:26" s="498" customFormat="1">
      <c r="A77" s="498" t="s">
        <v>5057</v>
      </c>
      <c r="B77" s="498" t="s">
        <v>934</v>
      </c>
      <c r="C77" s="499">
        <v>46179</v>
      </c>
      <c r="D77" s="499">
        <v>46186</v>
      </c>
      <c r="E77" s="2144" t="s">
        <v>5026</v>
      </c>
      <c r="G77" s="2145" t="s">
        <v>5027</v>
      </c>
      <c r="H77" s="2144" t="s">
        <v>5028</v>
      </c>
      <c r="I77" s="498" t="s">
        <v>18</v>
      </c>
      <c r="J77" s="498" t="s">
        <v>51</v>
      </c>
      <c r="K77" s="2144"/>
      <c r="L77" s="938" t="s">
        <v>5029</v>
      </c>
      <c r="M77" s="501" t="s">
        <v>5030</v>
      </c>
      <c r="N77" s="502">
        <f>1752+42</f>
        <v>1794</v>
      </c>
      <c r="P77" s="498" t="s">
        <v>1192</v>
      </c>
      <c r="Q77" s="1490">
        <v>1</v>
      </c>
      <c r="R77" s="500">
        <v>2</v>
      </c>
      <c r="S77" s="500">
        <v>2</v>
      </c>
      <c r="T77" s="981" t="s">
        <v>5032</v>
      </c>
      <c r="U77" s="504">
        <v>46146</v>
      </c>
      <c r="V77" s="498" t="s">
        <v>1477</v>
      </c>
      <c r="W77" s="498" t="s">
        <v>2918</v>
      </c>
      <c r="Y77" s="1490"/>
      <c r="Z77" s="1490"/>
    </row>
    <row r="78" spans="1:26" s="498" customFormat="1" ht="12.6" customHeight="1">
      <c r="A78" s="498" t="s">
        <v>4968</v>
      </c>
      <c r="B78" s="498" t="s">
        <v>32</v>
      </c>
      <c r="C78" s="499">
        <v>46186</v>
      </c>
      <c r="D78" s="499">
        <v>46193</v>
      </c>
      <c r="E78" s="938" t="s">
        <v>4969</v>
      </c>
      <c r="G78" s="500" t="s">
        <v>4970</v>
      </c>
      <c r="H78" s="498" t="s">
        <v>4459</v>
      </c>
      <c r="I78" s="498" t="s">
        <v>4971</v>
      </c>
      <c r="J78" s="498" t="s">
        <v>19</v>
      </c>
      <c r="L78" s="938" t="s">
        <v>4972</v>
      </c>
      <c r="M78" s="501" t="s">
        <v>4973</v>
      </c>
      <c r="N78" s="502">
        <f>2190+70+3*3*7</f>
        <v>2323</v>
      </c>
      <c r="P78" s="498" t="s">
        <v>5045</v>
      </c>
      <c r="Q78" s="1490">
        <v>1</v>
      </c>
      <c r="R78" s="500">
        <v>4</v>
      </c>
      <c r="S78" s="500">
        <v>3</v>
      </c>
      <c r="T78" s="1804" t="s">
        <v>4983</v>
      </c>
      <c r="U78" s="504">
        <v>46086</v>
      </c>
      <c r="V78" s="498" t="s">
        <v>1477</v>
      </c>
      <c r="W78" s="498" t="s">
        <v>1154</v>
      </c>
      <c r="X78" s="1490"/>
    </row>
    <row r="79" spans="1:26" s="498" customFormat="1" ht="12.6" customHeight="1">
      <c r="A79" s="498" t="s">
        <v>4875</v>
      </c>
      <c r="B79" s="498" t="s">
        <v>652</v>
      </c>
      <c r="C79" s="499">
        <v>46193</v>
      </c>
      <c r="D79" s="499">
        <v>46207</v>
      </c>
      <c r="E79" s="498" t="s">
        <v>4876</v>
      </c>
      <c r="G79" s="500" t="s">
        <v>4877</v>
      </c>
      <c r="H79" s="498" t="s">
        <v>4878</v>
      </c>
      <c r="I79" s="498" t="s">
        <v>18</v>
      </c>
      <c r="J79" s="498" t="s">
        <v>51</v>
      </c>
      <c r="L79" s="688" t="s">
        <v>4879</v>
      </c>
      <c r="M79" s="501" t="s">
        <v>4880</v>
      </c>
      <c r="N79" s="359">
        <f>2490*2+70</f>
        <v>5050</v>
      </c>
      <c r="P79" s="498" t="s">
        <v>4881</v>
      </c>
      <c r="Q79" s="1490">
        <v>2</v>
      </c>
      <c r="R79" s="500">
        <v>2</v>
      </c>
      <c r="S79" s="500">
        <v>1</v>
      </c>
      <c r="T79" s="1804" t="s">
        <v>4883</v>
      </c>
      <c r="U79" s="504">
        <v>46032</v>
      </c>
      <c r="V79" s="498" t="s">
        <v>1477</v>
      </c>
      <c r="W79" s="498" t="s">
        <v>1154</v>
      </c>
      <c r="X79" s="1487">
        <v>3805</v>
      </c>
    </row>
    <row r="80" spans="1:26" s="498" customFormat="1">
      <c r="A80" s="498" t="s">
        <v>4977</v>
      </c>
      <c r="B80" s="498" t="s">
        <v>4984</v>
      </c>
      <c r="C80" s="499">
        <v>46207</v>
      </c>
      <c r="D80" s="499">
        <v>46221</v>
      </c>
      <c r="E80" s="498" t="s">
        <v>4978</v>
      </c>
      <c r="G80" s="500" t="s">
        <v>4979</v>
      </c>
      <c r="H80" s="498" t="s">
        <v>4980</v>
      </c>
      <c r="I80" s="498" t="s">
        <v>168</v>
      </c>
      <c r="J80" s="498" t="s">
        <v>51</v>
      </c>
      <c r="L80" s="688" t="s">
        <v>4981</v>
      </c>
      <c r="M80" s="501" t="s">
        <v>4982</v>
      </c>
      <c r="N80" s="502">
        <f>2490+2790+70</f>
        <v>5350</v>
      </c>
      <c r="P80" s="498" t="s">
        <v>3622</v>
      </c>
      <c r="Q80" s="1490">
        <v>2</v>
      </c>
      <c r="R80" s="500">
        <v>3</v>
      </c>
      <c r="S80" s="500">
        <v>1</v>
      </c>
      <c r="T80" s="1804" t="s">
        <v>4987</v>
      </c>
      <c r="U80" s="504">
        <v>46089</v>
      </c>
      <c r="V80" s="498" t="s">
        <v>4976</v>
      </c>
      <c r="W80" s="498" t="s">
        <v>1154</v>
      </c>
      <c r="X80" s="1490"/>
    </row>
    <row r="81" spans="1:24" s="498" customFormat="1">
      <c r="A81" s="498" t="s">
        <v>4660</v>
      </c>
      <c r="B81" s="498" t="s">
        <v>4661</v>
      </c>
      <c r="C81" s="499">
        <v>46222</v>
      </c>
      <c r="D81" s="499">
        <v>46235</v>
      </c>
      <c r="E81" s="498" t="s">
        <v>4662</v>
      </c>
      <c r="G81" s="500" t="s">
        <v>4663</v>
      </c>
      <c r="H81" s="498" t="s">
        <v>4664</v>
      </c>
      <c r="I81" s="498" t="s">
        <v>18</v>
      </c>
      <c r="J81" s="498" t="s">
        <v>51</v>
      </c>
      <c r="L81" s="688" t="s">
        <v>4665</v>
      </c>
      <c r="M81" s="501" t="s">
        <v>4666</v>
      </c>
      <c r="N81" s="502">
        <f>2790*2+154</f>
        <v>5734</v>
      </c>
      <c r="P81" s="498" t="s">
        <v>5108</v>
      </c>
      <c r="Q81" s="1490">
        <v>2</v>
      </c>
      <c r="R81" s="500">
        <v>4</v>
      </c>
      <c r="S81" s="500">
        <v>1</v>
      </c>
      <c r="T81" s="1804" t="s">
        <v>4683</v>
      </c>
      <c r="U81" s="504">
        <v>46259</v>
      </c>
      <c r="V81" s="498" t="s">
        <v>1477</v>
      </c>
      <c r="W81" s="498" t="s">
        <v>1154</v>
      </c>
      <c r="X81" s="1490"/>
    </row>
    <row r="82" spans="1:24" s="498" customFormat="1">
      <c r="A82" s="498" t="s">
        <v>4988</v>
      </c>
      <c r="B82" s="498" t="s">
        <v>5146</v>
      </c>
      <c r="C82" s="499">
        <v>46235</v>
      </c>
      <c r="D82" s="499">
        <v>46256</v>
      </c>
      <c r="E82" s="498" t="s">
        <v>4989</v>
      </c>
      <c r="G82" s="500" t="s">
        <v>4990</v>
      </c>
      <c r="H82" s="498" t="s">
        <v>4991</v>
      </c>
      <c r="I82" s="498" t="s">
        <v>18</v>
      </c>
      <c r="J82" s="498" t="s">
        <v>51</v>
      </c>
      <c r="L82" s="688" t="s">
        <v>4992</v>
      </c>
      <c r="M82" s="501" t="s">
        <v>4993</v>
      </c>
      <c r="N82" s="502">
        <f>2790*3+70</f>
        <v>8440</v>
      </c>
      <c r="P82" s="498" t="s">
        <v>5147</v>
      </c>
      <c r="Q82" s="1490">
        <v>3</v>
      </c>
      <c r="R82" s="500">
        <v>3</v>
      </c>
      <c r="S82" s="500">
        <v>3</v>
      </c>
      <c r="T82" s="1804" t="s">
        <v>4998</v>
      </c>
      <c r="U82" s="504">
        <v>46109</v>
      </c>
      <c r="V82" s="498" t="s">
        <v>4994</v>
      </c>
      <c r="W82" s="498" t="s">
        <v>1154</v>
      </c>
      <c r="X82" s="1490"/>
    </row>
    <row r="83" spans="1:24" s="8" customFormat="1" ht="10.199999999999999">
      <c r="C83" s="31"/>
      <c r="D83" s="31"/>
      <c r="G83" s="132"/>
      <c r="L83" s="15"/>
      <c r="M83" s="1103"/>
      <c r="N83" s="684"/>
      <c r="Q83" s="439"/>
      <c r="R83" s="132"/>
      <c r="S83" s="132"/>
      <c r="T83" s="1928"/>
      <c r="U83" s="86"/>
      <c r="X83" s="439"/>
    </row>
    <row r="84" spans="1:24" s="115" customFormat="1">
      <c r="A84" s="115" t="s">
        <v>5038</v>
      </c>
      <c r="B84" s="115" t="s">
        <v>5039</v>
      </c>
      <c r="C84" s="116">
        <v>46263</v>
      </c>
      <c r="D84" s="116">
        <v>46270</v>
      </c>
      <c r="E84" s="115" t="s">
        <v>5040</v>
      </c>
      <c r="G84" s="361" t="s">
        <v>5041</v>
      </c>
      <c r="H84" s="115" t="s">
        <v>5042</v>
      </c>
      <c r="I84" s="115" t="s">
        <v>168</v>
      </c>
      <c r="J84" s="115" t="s">
        <v>51</v>
      </c>
      <c r="L84" s="124" t="s">
        <v>5043</v>
      </c>
      <c r="M84" s="121" t="s">
        <v>5044</v>
      </c>
      <c r="N84" s="118">
        <v>2490</v>
      </c>
      <c r="P84" s="115" t="s">
        <v>3094</v>
      </c>
      <c r="Q84" s="1486">
        <v>1</v>
      </c>
      <c r="R84" s="361">
        <v>4</v>
      </c>
      <c r="S84" s="361">
        <v>2</v>
      </c>
      <c r="T84" s="1134" t="s">
        <v>5053</v>
      </c>
      <c r="U84" s="120">
        <v>46154</v>
      </c>
      <c r="V84" s="115" t="s">
        <v>1477</v>
      </c>
      <c r="W84" s="115" t="s">
        <v>1154</v>
      </c>
      <c r="X84" s="1486"/>
    </row>
    <row r="85" spans="1:24" s="8" customFormat="1" ht="10.199999999999999">
      <c r="C85" s="31"/>
      <c r="D85" s="31"/>
      <c r="G85" s="132"/>
      <c r="L85" s="15"/>
      <c r="M85" s="1103"/>
      <c r="N85" s="684"/>
      <c r="Q85" s="439"/>
      <c r="R85" s="132"/>
      <c r="S85" s="132"/>
      <c r="T85" s="1928"/>
      <c r="U85" s="86"/>
      <c r="X85" s="439"/>
    </row>
    <row r="86" spans="1:24" s="115" customFormat="1" ht="10.199999999999999">
      <c r="A86" s="115" t="s">
        <v>4930</v>
      </c>
      <c r="B86" s="115" t="s">
        <v>4931</v>
      </c>
      <c r="C86" s="116">
        <v>46284</v>
      </c>
      <c r="D86" s="116">
        <v>46291</v>
      </c>
      <c r="E86" s="115" t="s">
        <v>4932</v>
      </c>
      <c r="G86" s="361" t="s">
        <v>4933</v>
      </c>
      <c r="H86" s="115" t="s">
        <v>4934</v>
      </c>
      <c r="I86" s="115" t="s">
        <v>18</v>
      </c>
      <c r="J86" s="115" t="s">
        <v>51</v>
      </c>
      <c r="L86" s="124" t="s">
        <v>4935</v>
      </c>
      <c r="M86" s="128" t="s">
        <v>4936</v>
      </c>
      <c r="N86" s="118">
        <f>1690+70+24</f>
        <v>1784</v>
      </c>
      <c r="P86" s="115" t="s">
        <v>2674</v>
      </c>
      <c r="Q86" s="1486">
        <v>1</v>
      </c>
      <c r="R86" s="361">
        <v>2</v>
      </c>
      <c r="S86" s="361">
        <v>1</v>
      </c>
      <c r="T86" s="1134" t="s">
        <v>4954</v>
      </c>
      <c r="U86" s="120"/>
      <c r="X86" s="1486"/>
    </row>
    <row r="87" spans="1:24" s="8" customFormat="1" ht="10.199999999999999">
      <c r="C87" s="31"/>
      <c r="D87" s="31"/>
      <c r="G87" s="132"/>
      <c r="L87" s="15"/>
      <c r="M87" s="1103"/>
      <c r="N87" s="684"/>
      <c r="Q87" s="439"/>
      <c r="R87" s="132"/>
      <c r="S87" s="132"/>
      <c r="T87" s="1928"/>
      <c r="U87" s="86"/>
      <c r="X87" s="439"/>
    </row>
    <row r="88" spans="1:24" s="115" customFormat="1" ht="10.199999999999999">
      <c r="A88" s="115" t="s">
        <v>4341</v>
      </c>
      <c r="B88" s="115" t="s">
        <v>4377</v>
      </c>
      <c r="C88" s="116">
        <v>46382</v>
      </c>
      <c r="D88" s="116">
        <v>46396</v>
      </c>
      <c r="E88" s="115" t="s">
        <v>4342</v>
      </c>
      <c r="G88" s="361" t="s">
        <v>4344</v>
      </c>
      <c r="H88" s="115" t="s">
        <v>4343</v>
      </c>
      <c r="I88" s="115" t="s">
        <v>18</v>
      </c>
      <c r="J88" s="115" t="s">
        <v>51</v>
      </c>
      <c r="L88" s="124" t="s">
        <v>4345</v>
      </c>
      <c r="M88" s="128" t="s">
        <v>4346</v>
      </c>
      <c r="N88" s="118">
        <f>1390+1190</f>
        <v>2580</v>
      </c>
      <c r="P88" s="115" t="s">
        <v>4839</v>
      </c>
      <c r="Q88" s="1486">
        <v>2</v>
      </c>
      <c r="R88" s="361">
        <v>3</v>
      </c>
      <c r="S88" s="361">
        <v>2</v>
      </c>
      <c r="T88" s="1134" t="s">
        <v>4939</v>
      </c>
      <c r="U88" s="120">
        <v>46057</v>
      </c>
      <c r="V88" s="115" t="s">
        <v>4533</v>
      </c>
      <c r="W88" s="115" t="s">
        <v>1154</v>
      </c>
      <c r="X88" s="1486"/>
    </row>
    <row r="89" spans="1:24" s="8" customFormat="1" ht="10.8" thickBot="1">
      <c r="C89" s="31"/>
      <c r="D89" s="31"/>
      <c r="G89" s="132"/>
      <c r="L89" s="15"/>
      <c r="M89" s="1103"/>
      <c r="N89" s="684"/>
      <c r="Q89" s="439"/>
      <c r="R89" s="132"/>
      <c r="S89" s="132"/>
      <c r="T89" s="1928"/>
      <c r="U89" s="86"/>
      <c r="X89" s="439"/>
    </row>
    <row r="90" spans="1:24" s="8" customFormat="1" ht="10.8" thickBot="1">
      <c r="A90" s="18" t="s">
        <v>4390</v>
      </c>
      <c r="B90" s="767">
        <f>SUM(N67:N89)</f>
        <v>46107</v>
      </c>
      <c r="C90" s="933">
        <f>B90/B50</f>
        <v>1.1417993610856592</v>
      </c>
      <c r="D90" s="791" t="s">
        <v>4045</v>
      </c>
      <c r="E90" s="1577">
        <f>SUM(E91:E102)</f>
        <v>8250.9699999999993</v>
      </c>
      <c r="F90" s="7"/>
      <c r="G90" s="133"/>
      <c r="I90" s="7" t="s">
        <v>4026</v>
      </c>
      <c r="J90" s="7" t="s">
        <v>3999</v>
      </c>
      <c r="K90" s="7"/>
      <c r="L90" s="864"/>
      <c r="M90" s="7"/>
      <c r="N90" s="1135"/>
      <c r="O90" s="7"/>
      <c r="Q90" s="439"/>
      <c r="R90" s="133"/>
      <c r="S90" s="133"/>
      <c r="T90" s="1135"/>
      <c r="X90" s="439"/>
    </row>
    <row r="91" spans="1:24" s="8" customFormat="1" ht="15" thickBot="1">
      <c r="A91" s="768" t="s">
        <v>463</v>
      </c>
      <c r="B91" s="922">
        <f>SUM(Q67:Q94)</f>
        <v>22</v>
      </c>
      <c r="C91" s="1576">
        <f>B90/B91</f>
        <v>2095.7727272727275</v>
      </c>
      <c r="D91" s="17" t="s">
        <v>3247</v>
      </c>
      <c r="E91" s="1127"/>
      <c r="F91" s="7"/>
      <c r="G91" s="133"/>
      <c r="H91" s="407"/>
      <c r="I91" s="7" t="s">
        <v>3247</v>
      </c>
      <c r="J91" s="8" t="s">
        <v>3998</v>
      </c>
      <c r="K91" s="404"/>
      <c r="N91" s="1135"/>
      <c r="O91" s="7"/>
      <c r="Q91" s="439"/>
      <c r="R91" s="133"/>
      <c r="S91" s="133"/>
      <c r="T91" s="1135">
        <f>1320+4030</f>
        <v>5350</v>
      </c>
      <c r="X91" s="439"/>
    </row>
    <row r="92" spans="1:24" s="8" customFormat="1" ht="10.8" thickBot="1">
      <c r="A92" s="7"/>
      <c r="B92" s="7"/>
      <c r="C92" s="29"/>
      <c r="D92" s="17" t="s">
        <v>4798</v>
      </c>
      <c r="E92" s="1127">
        <f>133*12</f>
        <v>1596</v>
      </c>
      <c r="F92" s="7"/>
      <c r="G92" s="133"/>
      <c r="I92" s="7" t="s">
        <v>3248</v>
      </c>
      <c r="J92" s="8" t="s">
        <v>4223</v>
      </c>
      <c r="K92" s="404"/>
      <c r="L92" s="2047"/>
      <c r="N92" s="1135"/>
      <c r="O92" s="7"/>
      <c r="Q92" s="439"/>
      <c r="R92" s="133"/>
      <c r="S92" s="133"/>
      <c r="T92" s="1135"/>
      <c r="X92" s="439"/>
    </row>
    <row r="93" spans="1:24" s="8" customFormat="1" ht="10.8" thickBot="1">
      <c r="A93" s="18" t="s">
        <v>464</v>
      </c>
      <c r="B93" s="851">
        <f>12*2000</f>
        <v>24000</v>
      </c>
      <c r="C93" s="29"/>
      <c r="D93" s="17" t="s">
        <v>3817</v>
      </c>
      <c r="E93" s="1127"/>
      <c r="F93" s="7"/>
      <c r="G93" s="133"/>
      <c r="H93" s="495"/>
      <c r="I93" s="7"/>
      <c r="J93" s="7"/>
      <c r="K93" s="404"/>
      <c r="L93" s="404"/>
      <c r="N93" s="439"/>
      <c r="O93" s="7"/>
      <c r="Q93" s="439"/>
      <c r="R93" s="133"/>
      <c r="S93" s="133"/>
      <c r="T93" s="1135"/>
      <c r="X93" s="439"/>
    </row>
    <row r="94" spans="1:24" s="8" customFormat="1" ht="10.8" thickBot="1">
      <c r="A94" s="852" t="s">
        <v>574</v>
      </c>
      <c r="B94" s="853">
        <f>E90</f>
        <v>8250.9699999999993</v>
      </c>
      <c r="C94" s="29"/>
      <c r="D94" s="17" t="s">
        <v>577</v>
      </c>
      <c r="E94" s="1127"/>
      <c r="F94" s="7"/>
      <c r="G94" s="133"/>
      <c r="H94" s="495"/>
      <c r="I94" s="7"/>
      <c r="J94" s="7"/>
      <c r="K94" s="49"/>
      <c r="L94" s="49"/>
      <c r="M94" s="1111"/>
      <c r="N94" s="1135"/>
      <c r="O94" s="7"/>
      <c r="Q94" s="439"/>
      <c r="R94" s="133"/>
      <c r="S94" s="133"/>
      <c r="T94" s="1135"/>
      <c r="X94" s="439"/>
    </row>
    <row r="95" spans="1:24" s="8" customFormat="1" ht="10.199999999999999">
      <c r="A95" s="510" t="s">
        <v>1534</v>
      </c>
      <c r="B95" s="854">
        <f>B90-B93-B94</f>
        <v>13856.03</v>
      </c>
      <c r="C95" s="29"/>
      <c r="D95" s="17" t="s">
        <v>3360</v>
      </c>
      <c r="E95" s="1127"/>
      <c r="F95" s="7"/>
      <c r="G95" s="133"/>
      <c r="H95" s="495"/>
      <c r="I95" s="7"/>
      <c r="J95" s="7"/>
      <c r="N95" s="1135">
        <f>2100+6340</f>
        <v>8440</v>
      </c>
      <c r="O95" s="7"/>
      <c r="Q95" s="439"/>
      <c r="R95" s="133"/>
      <c r="S95" s="133"/>
      <c r="T95" s="1135"/>
      <c r="X95" s="439"/>
    </row>
    <row r="96" spans="1:24" s="8" customFormat="1" ht="10.199999999999999">
      <c r="D96" s="10" t="s">
        <v>2525</v>
      </c>
      <c r="E96" s="1127"/>
      <c r="N96" s="439"/>
      <c r="Q96" s="439"/>
      <c r="T96" s="439"/>
      <c r="X96" s="439"/>
    </row>
    <row r="97" spans="1:24" s="8" customFormat="1" ht="10.199999999999999">
      <c r="D97" s="10" t="s">
        <v>3999</v>
      </c>
      <c r="E97" s="1127">
        <f>30*12</f>
        <v>360</v>
      </c>
      <c r="M97" s="7"/>
      <c r="N97" s="439"/>
      <c r="Q97" s="439"/>
      <c r="T97" s="439"/>
      <c r="X97" s="439"/>
    </row>
    <row r="98" spans="1:24" s="8" customFormat="1" ht="10.199999999999999">
      <c r="D98" s="10" t="s">
        <v>3255</v>
      </c>
      <c r="E98" s="1127">
        <v>250.97</v>
      </c>
      <c r="M98" s="7"/>
      <c r="N98" s="439"/>
      <c r="Q98" s="439"/>
      <c r="T98" s="439"/>
      <c r="X98" s="439"/>
    </row>
    <row r="99" spans="1:24" s="8" customFormat="1" ht="10.199999999999999">
      <c r="D99" s="10" t="s">
        <v>4309</v>
      </c>
      <c r="E99" s="1127">
        <f>87*12</f>
        <v>1044</v>
      </c>
      <c r="N99" s="439"/>
      <c r="Q99" s="439"/>
      <c r="X99" s="439"/>
    </row>
    <row r="100" spans="1:24" s="8" customFormat="1" ht="10.199999999999999">
      <c r="D100" s="10" t="s">
        <v>3777</v>
      </c>
      <c r="E100" s="1127"/>
      <c r="N100" s="439"/>
      <c r="Q100" s="439"/>
      <c r="T100" s="439"/>
      <c r="X100" s="439"/>
    </row>
    <row r="101" spans="1:24" s="8" customFormat="1" ht="10.199999999999999">
      <c r="D101" s="10" t="s">
        <v>4492</v>
      </c>
      <c r="E101" s="1127">
        <v>5000</v>
      </c>
      <c r="N101" s="439"/>
      <c r="Q101" s="439"/>
      <c r="T101" s="439"/>
      <c r="X101" s="439"/>
    </row>
    <row r="102" spans="1:24" ht="13.8" thickBot="1">
      <c r="D102" s="519" t="s">
        <v>3778</v>
      </c>
      <c r="E102" s="1226"/>
    </row>
    <row r="106" spans="1:24" s="8" customFormat="1" ht="10.199999999999999">
      <c r="A106" s="9" t="s">
        <v>5015</v>
      </c>
      <c r="B106" s="856"/>
      <c r="C106" s="1114"/>
      <c r="E106" s="1114"/>
      <c r="G106" s="857"/>
      <c r="H106" s="856"/>
      <c r="I106" s="856"/>
      <c r="J106" s="856"/>
      <c r="K106" s="856"/>
      <c r="L106" s="856"/>
      <c r="M106" s="856"/>
      <c r="N106" s="856"/>
      <c r="O106" s="856"/>
      <c r="P106" s="856"/>
      <c r="Q106" s="858"/>
      <c r="R106" s="857"/>
      <c r="S106" s="857"/>
      <c r="T106" s="858"/>
      <c r="U106" s="856"/>
      <c r="V106" s="856"/>
      <c r="W106" s="856"/>
      <c r="X106" s="439"/>
    </row>
    <row r="107" spans="1:24" s="8" customFormat="1" ht="10.199999999999999">
      <c r="A107" s="9"/>
      <c r="B107" s="856"/>
      <c r="C107" s="1114"/>
      <c r="E107" s="1114"/>
      <c r="G107" s="857"/>
      <c r="H107" s="856"/>
      <c r="I107" s="856"/>
      <c r="J107" s="856"/>
      <c r="K107" s="856"/>
      <c r="L107" s="856"/>
      <c r="M107" s="856"/>
      <c r="N107" s="856"/>
      <c r="O107" s="856"/>
      <c r="P107" s="856"/>
      <c r="Q107" s="858"/>
      <c r="R107" s="857"/>
      <c r="S107" s="857"/>
      <c r="T107" s="858"/>
      <c r="U107" s="856"/>
      <c r="V107" s="856"/>
      <c r="W107" s="856"/>
      <c r="X107" s="439"/>
    </row>
    <row r="108" spans="1:24" s="8" customFormat="1" ht="12" customHeight="1">
      <c r="C108" s="31"/>
      <c r="D108" s="31"/>
      <c r="G108" s="132"/>
      <c r="L108" s="15"/>
      <c r="M108" s="683"/>
      <c r="N108" s="684"/>
      <c r="Q108" s="439"/>
      <c r="R108" s="132"/>
      <c r="S108" s="132"/>
      <c r="T108" s="1928"/>
      <c r="U108" s="86"/>
      <c r="X108" s="439"/>
    </row>
    <row r="109" spans="1:24" s="8" customFormat="1" ht="12" customHeight="1">
      <c r="C109" s="31"/>
      <c r="D109" s="31"/>
      <c r="G109" s="132"/>
      <c r="L109" s="15"/>
      <c r="M109" s="683"/>
      <c r="N109" s="684"/>
      <c r="Q109" s="439"/>
      <c r="R109" s="132"/>
      <c r="S109" s="132"/>
      <c r="T109" s="1928"/>
      <c r="U109" s="86"/>
      <c r="X109" s="439"/>
    </row>
    <row r="110" spans="1:24" s="2102" customFormat="1" ht="12" customHeight="1">
      <c r="C110" s="2103"/>
      <c r="D110" s="2103"/>
      <c r="G110" s="2104"/>
      <c r="L110" s="2105"/>
      <c r="M110" s="2106"/>
      <c r="N110" s="2107"/>
      <c r="Q110" s="2108"/>
      <c r="R110" s="2104"/>
      <c r="S110" s="2104"/>
      <c r="T110" s="2109"/>
      <c r="U110" s="2110"/>
      <c r="X110" s="2108"/>
    </row>
    <row r="111" spans="1:24" s="115" customFormat="1">
      <c r="A111" s="115" t="s">
        <v>4674</v>
      </c>
      <c r="C111" s="116">
        <v>46536</v>
      </c>
      <c r="D111" s="116">
        <v>46543</v>
      </c>
      <c r="E111" s="115" t="s">
        <v>4676</v>
      </c>
      <c r="G111" s="361">
        <v>1180</v>
      </c>
      <c r="H111" s="115" t="s">
        <v>5017</v>
      </c>
      <c r="I111" s="115" t="s">
        <v>36</v>
      </c>
      <c r="J111" s="115" t="s">
        <v>19</v>
      </c>
      <c r="L111" s="124" t="s">
        <v>5018</v>
      </c>
      <c r="M111" s="121" t="s">
        <v>4679</v>
      </c>
      <c r="N111" s="118">
        <v>1790</v>
      </c>
      <c r="P111" s="115" t="s">
        <v>3726</v>
      </c>
      <c r="Q111" s="1486">
        <v>1</v>
      </c>
      <c r="R111" s="361">
        <v>2</v>
      </c>
      <c r="S111" s="361">
        <v>2</v>
      </c>
      <c r="T111" s="1134" t="s">
        <v>5019</v>
      </c>
      <c r="U111" s="120">
        <v>46132</v>
      </c>
      <c r="W111" s="115" t="s">
        <v>1154</v>
      </c>
      <c r="X111" s="1486"/>
    </row>
    <row r="112" spans="1:24" s="8" customFormat="1" ht="12" customHeight="1">
      <c r="C112" s="31"/>
      <c r="D112" s="31"/>
      <c r="G112" s="132"/>
      <c r="L112" s="15"/>
      <c r="M112" s="683"/>
      <c r="N112" s="684"/>
      <c r="Q112" s="439"/>
      <c r="R112" s="132"/>
      <c r="S112" s="132"/>
      <c r="T112" s="1928"/>
      <c r="U112" s="86"/>
      <c r="X112" s="439"/>
    </row>
    <row r="113" spans="1:24" s="8" customFormat="1" ht="10.199999999999999">
      <c r="C113" s="31"/>
      <c r="D113" s="31"/>
      <c r="G113" s="132"/>
      <c r="L113" s="15"/>
      <c r="M113" s="1103"/>
      <c r="N113" s="684"/>
      <c r="Q113" s="439"/>
      <c r="R113" s="132"/>
      <c r="S113" s="132"/>
      <c r="T113" s="1928"/>
      <c r="U113" s="86"/>
      <c r="X113" s="439"/>
    </row>
    <row r="114" spans="1:24" s="8" customFormat="1" ht="12.6" customHeight="1">
      <c r="C114" s="31"/>
      <c r="D114" s="31"/>
      <c r="G114" s="132"/>
      <c r="L114" s="15"/>
      <c r="M114" s="683"/>
      <c r="N114" s="684"/>
      <c r="Q114" s="439"/>
      <c r="R114" s="132"/>
      <c r="S114" s="132"/>
      <c r="T114" s="1928"/>
      <c r="U114" s="86"/>
      <c r="X114" s="439"/>
    </row>
    <row r="115" spans="1:24" s="8" customFormat="1" ht="12.6" customHeight="1">
      <c r="C115" s="31"/>
      <c r="D115" s="31"/>
      <c r="G115" s="132"/>
      <c r="L115" s="15"/>
      <c r="M115" s="683"/>
      <c r="N115" s="684"/>
      <c r="Q115" s="439"/>
      <c r="R115" s="132"/>
      <c r="S115" s="132"/>
      <c r="T115" s="1928"/>
      <c r="U115" s="86"/>
      <c r="X115" s="439"/>
    </row>
    <row r="116" spans="1:24" s="8" customFormat="1" ht="12.6" customHeight="1">
      <c r="C116" s="31"/>
      <c r="D116" s="31"/>
      <c r="G116" s="132"/>
      <c r="L116" s="15"/>
      <c r="M116" s="1103"/>
      <c r="N116" s="684"/>
      <c r="Q116" s="439"/>
      <c r="R116" s="132"/>
      <c r="S116" s="132"/>
      <c r="T116" s="1928"/>
      <c r="U116" s="86"/>
      <c r="X116" s="439"/>
    </row>
    <row r="117" spans="1:24" s="8" customFormat="1" ht="12.6" customHeight="1">
      <c r="C117" s="31"/>
      <c r="D117" s="31"/>
      <c r="E117" s="369"/>
      <c r="G117" s="132"/>
      <c r="L117" s="369"/>
      <c r="M117" s="683"/>
      <c r="N117" s="684"/>
      <c r="Q117" s="439"/>
      <c r="R117" s="132"/>
      <c r="S117" s="132"/>
      <c r="T117" s="1928"/>
      <c r="U117" s="86"/>
      <c r="X117" s="439"/>
    </row>
    <row r="118" spans="1:24" s="8" customFormat="1" ht="12.6" customHeight="1">
      <c r="C118" s="31"/>
      <c r="D118" s="31"/>
      <c r="G118" s="132"/>
      <c r="L118" s="15"/>
      <c r="M118" s="683"/>
      <c r="N118" s="684"/>
      <c r="Q118" s="439"/>
      <c r="R118" s="132"/>
      <c r="S118" s="132"/>
      <c r="T118" s="1928"/>
      <c r="U118" s="86"/>
      <c r="X118" s="439"/>
    </row>
    <row r="119" spans="1:24" s="8" customFormat="1">
      <c r="C119" s="31"/>
      <c r="D119" s="31"/>
      <c r="G119" s="132"/>
      <c r="L119" s="15"/>
      <c r="M119" s="683"/>
      <c r="N119" s="684"/>
      <c r="Q119" s="439"/>
      <c r="R119" s="132"/>
      <c r="S119" s="132"/>
      <c r="T119" s="1928"/>
      <c r="U119" s="86"/>
      <c r="X119" s="439"/>
    </row>
    <row r="120" spans="1:24" s="8" customFormat="1">
      <c r="C120" s="31"/>
      <c r="D120" s="31"/>
      <c r="G120" s="132"/>
      <c r="L120" s="15"/>
      <c r="M120" s="683"/>
      <c r="N120" s="684"/>
      <c r="Q120" s="439"/>
      <c r="R120" s="132"/>
      <c r="S120" s="132"/>
      <c r="T120" s="1928"/>
      <c r="U120" s="86"/>
      <c r="X120" s="439"/>
    </row>
    <row r="121" spans="1:24" s="8" customFormat="1">
      <c r="C121" s="31"/>
      <c r="D121" s="31"/>
      <c r="G121" s="132"/>
      <c r="L121" s="15"/>
      <c r="M121" s="683"/>
      <c r="N121" s="684"/>
      <c r="Q121" s="439"/>
      <c r="R121" s="132"/>
      <c r="S121" s="132"/>
      <c r="T121" s="1928"/>
      <c r="U121" s="86"/>
      <c r="X121" s="439"/>
    </row>
    <row r="122" spans="1:24" s="8" customFormat="1">
      <c r="C122" s="31"/>
      <c r="D122" s="31"/>
      <c r="G122" s="132"/>
      <c r="L122" s="15"/>
      <c r="M122" s="683"/>
      <c r="N122" s="684"/>
      <c r="Q122" s="439"/>
      <c r="R122" s="132"/>
      <c r="S122" s="132"/>
      <c r="T122" s="1928"/>
      <c r="U122" s="86"/>
      <c r="X122" s="439"/>
    </row>
    <row r="123" spans="1:24" s="8" customFormat="1">
      <c r="C123" s="31"/>
      <c r="D123" s="31"/>
      <c r="G123" s="132"/>
      <c r="L123" s="15"/>
      <c r="M123" s="683"/>
      <c r="N123" s="684"/>
      <c r="Q123" s="439"/>
      <c r="R123" s="132"/>
      <c r="S123" s="132"/>
      <c r="T123" s="1928"/>
      <c r="U123" s="86"/>
      <c r="X123" s="439"/>
    </row>
    <row r="124" spans="1:24" s="8" customFormat="1">
      <c r="C124" s="31"/>
      <c r="D124" s="31"/>
      <c r="G124" s="132"/>
      <c r="L124" s="15"/>
      <c r="M124" s="683"/>
      <c r="N124" s="684"/>
      <c r="Q124" s="439"/>
      <c r="R124" s="132"/>
      <c r="S124" s="132"/>
      <c r="T124" s="1928"/>
      <c r="U124" s="86"/>
      <c r="X124" s="439"/>
    </row>
    <row r="125" spans="1:24" s="8" customFormat="1" ht="10.8" thickBot="1">
      <c r="C125" s="31"/>
      <c r="D125" s="31"/>
      <c r="G125" s="132"/>
      <c r="L125" s="15"/>
      <c r="M125" s="1103"/>
      <c r="N125" s="684"/>
      <c r="Q125" s="439"/>
      <c r="R125" s="132"/>
      <c r="S125" s="132"/>
      <c r="T125" s="1928"/>
      <c r="U125" s="86"/>
      <c r="X125" s="439"/>
    </row>
    <row r="126" spans="1:24" s="8" customFormat="1" ht="10.8" thickBot="1">
      <c r="A126" s="18" t="s">
        <v>4722</v>
      </c>
      <c r="B126" s="767">
        <f>SUM(N106:N125)</f>
        <v>1790</v>
      </c>
      <c r="C126" s="933">
        <f>B126/B90</f>
        <v>3.8822738412822348E-2</v>
      </c>
      <c r="D126" s="791" t="s">
        <v>5016</v>
      </c>
      <c r="E126" s="1577">
        <f>SUM(E127:E138)</f>
        <v>0</v>
      </c>
      <c r="F126" s="7"/>
      <c r="G126" s="133"/>
      <c r="I126" s="7" t="s">
        <v>4026</v>
      </c>
      <c r="J126" s="7" t="s">
        <v>3999</v>
      </c>
      <c r="K126" s="7"/>
      <c r="L126" s="864"/>
      <c r="M126" s="7"/>
      <c r="N126" s="1135"/>
      <c r="O126" s="7"/>
      <c r="Q126" s="439"/>
      <c r="R126" s="133"/>
      <c r="S126" s="133"/>
      <c r="T126" s="1135"/>
      <c r="X126" s="439"/>
    </row>
    <row r="127" spans="1:24" s="8" customFormat="1" ht="15" thickBot="1">
      <c r="A127" s="768" t="s">
        <v>463</v>
      </c>
      <c r="B127" s="922">
        <f>SUM(Q106:Q130)</f>
        <v>1</v>
      </c>
      <c r="C127" s="1576">
        <f>B126/B127</f>
        <v>1790</v>
      </c>
      <c r="D127" s="17" t="s">
        <v>3247</v>
      </c>
      <c r="E127" s="1127"/>
      <c r="F127" s="7"/>
      <c r="G127" s="133"/>
      <c r="H127" s="407"/>
      <c r="I127" s="7" t="s">
        <v>3247</v>
      </c>
      <c r="J127" s="8" t="s">
        <v>3998</v>
      </c>
      <c r="K127" s="404"/>
      <c r="N127" s="1135"/>
      <c r="O127" s="7"/>
      <c r="Q127" s="439"/>
      <c r="R127" s="133"/>
      <c r="S127" s="133"/>
      <c r="T127" s="1135"/>
      <c r="X127" s="439"/>
    </row>
    <row r="128" spans="1:24" s="8" customFormat="1" ht="10.8" thickBot="1">
      <c r="A128" s="7"/>
      <c r="B128" s="7"/>
      <c r="C128" s="29"/>
      <c r="D128" s="17" t="s">
        <v>4798</v>
      </c>
      <c r="E128" s="1127"/>
      <c r="F128" s="7"/>
      <c r="G128" s="133"/>
      <c r="I128" s="7" t="s">
        <v>3248</v>
      </c>
      <c r="J128" s="8" t="s">
        <v>4223</v>
      </c>
      <c r="K128" s="404"/>
      <c r="L128" s="2047"/>
      <c r="N128" s="1135"/>
      <c r="O128" s="7"/>
      <c r="Q128" s="439"/>
      <c r="R128" s="133"/>
      <c r="S128" s="133"/>
      <c r="T128" s="1135"/>
      <c r="X128" s="439"/>
    </row>
    <row r="129" spans="1:24" s="8" customFormat="1" ht="10.8" thickBot="1">
      <c r="A129" s="18" t="s">
        <v>464</v>
      </c>
      <c r="B129" s="851">
        <f>12*2000</f>
        <v>24000</v>
      </c>
      <c r="C129" s="29"/>
      <c r="D129" s="17" t="s">
        <v>3817</v>
      </c>
      <c r="E129" s="1127"/>
      <c r="F129" s="7"/>
      <c r="G129" s="133"/>
      <c r="H129" s="495"/>
      <c r="I129" s="7"/>
      <c r="J129" s="7"/>
      <c r="K129" s="404"/>
      <c r="L129" s="404"/>
      <c r="N129" s="439"/>
      <c r="O129" s="7"/>
      <c r="Q129" s="439"/>
      <c r="R129" s="133"/>
      <c r="S129" s="133"/>
      <c r="T129" s="1135"/>
      <c r="X129" s="439"/>
    </row>
    <row r="130" spans="1:24" s="8" customFormat="1" ht="10.8" thickBot="1">
      <c r="A130" s="852" t="s">
        <v>574</v>
      </c>
      <c r="B130" s="853">
        <f>E126</f>
        <v>0</v>
      </c>
      <c r="C130" s="29"/>
      <c r="D130" s="17" t="s">
        <v>577</v>
      </c>
      <c r="E130" s="1127"/>
      <c r="F130" s="7"/>
      <c r="G130" s="133"/>
      <c r="H130" s="495"/>
      <c r="I130" s="7"/>
      <c r="J130" s="7"/>
      <c r="K130" s="49"/>
      <c r="L130" s="49"/>
      <c r="M130" s="1111"/>
      <c r="N130" s="1135"/>
      <c r="O130" s="7"/>
      <c r="Q130" s="439"/>
      <c r="R130" s="133"/>
      <c r="S130" s="133"/>
      <c r="T130" s="1135"/>
      <c r="X130" s="439"/>
    </row>
    <row r="131" spans="1:24" s="8" customFormat="1" ht="10.199999999999999">
      <c r="A131" s="510" t="s">
        <v>1534</v>
      </c>
      <c r="B131" s="854">
        <f>B126-B129-B130</f>
        <v>-22210</v>
      </c>
      <c r="C131" s="29"/>
      <c r="D131" s="17" t="s">
        <v>3360</v>
      </c>
      <c r="E131" s="1127"/>
      <c r="F131" s="7"/>
      <c r="G131" s="133"/>
      <c r="H131" s="495"/>
      <c r="I131" s="7"/>
      <c r="J131" s="7"/>
      <c r="N131" s="1135"/>
      <c r="O131" s="7"/>
      <c r="Q131" s="439"/>
      <c r="R131" s="133"/>
      <c r="S131" s="133"/>
      <c r="T131" s="1135"/>
      <c r="X131" s="439"/>
    </row>
    <row r="132" spans="1:24" s="8" customFormat="1" ht="10.199999999999999">
      <c r="D132" s="10" t="s">
        <v>2525</v>
      </c>
      <c r="E132" s="1127"/>
      <c r="N132" s="439"/>
      <c r="Q132" s="439"/>
      <c r="T132" s="439"/>
      <c r="X132" s="439"/>
    </row>
    <row r="133" spans="1:24" s="8" customFormat="1" ht="10.199999999999999">
      <c r="D133" s="10" t="s">
        <v>3999</v>
      </c>
      <c r="E133" s="1127"/>
      <c r="M133" s="7"/>
      <c r="N133" s="439"/>
      <c r="Q133" s="439"/>
      <c r="T133" s="439"/>
      <c r="X133" s="439"/>
    </row>
    <row r="134" spans="1:24" s="8" customFormat="1" ht="10.199999999999999">
      <c r="D134" s="10" t="s">
        <v>3255</v>
      </c>
      <c r="E134" s="1127"/>
      <c r="M134" s="7"/>
      <c r="N134" s="439"/>
      <c r="Q134" s="439"/>
      <c r="T134" s="439"/>
      <c r="X134" s="439"/>
    </row>
    <row r="135" spans="1:24" s="8" customFormat="1" ht="10.199999999999999">
      <c r="D135" s="10" t="s">
        <v>4309</v>
      </c>
      <c r="E135" s="1127"/>
      <c r="N135" s="439"/>
      <c r="Q135" s="439"/>
      <c r="X135" s="439"/>
    </row>
    <row r="136" spans="1:24" s="8" customFormat="1" ht="10.199999999999999">
      <c r="D136" s="10" t="s">
        <v>3777</v>
      </c>
      <c r="E136" s="1127"/>
      <c r="N136" s="439"/>
      <c r="Q136" s="439"/>
      <c r="T136" s="439"/>
      <c r="X136" s="439"/>
    </row>
    <row r="137" spans="1:24" s="8" customFormat="1" ht="10.199999999999999">
      <c r="D137" s="10" t="s">
        <v>4492</v>
      </c>
      <c r="E137" s="1127"/>
      <c r="N137" s="439"/>
      <c r="Q137" s="439"/>
      <c r="T137" s="439"/>
      <c r="X137" s="439"/>
    </row>
    <row r="138" spans="1:24" ht="13.8" thickBot="1">
      <c r="D138" s="519" t="s">
        <v>3778</v>
      </c>
      <c r="E138" s="1226"/>
    </row>
  </sheetData>
  <conditionalFormatting sqref="B23">
    <cfRule type="cellIs" dxfId="152" priority="7" stopIfTrue="1" operator="greaterThanOrEqual">
      <formula>0</formula>
    </cfRule>
    <cfRule type="cellIs" dxfId="151" priority="8" stopIfTrue="1" operator="lessThan">
      <formula>0</formula>
    </cfRule>
  </conditionalFormatting>
  <conditionalFormatting sqref="B55">
    <cfRule type="cellIs" dxfId="150" priority="5" stopIfTrue="1" operator="greaterThanOrEqual">
      <formula>0</formula>
    </cfRule>
    <cfRule type="cellIs" dxfId="149" priority="6" stopIfTrue="1" operator="lessThan">
      <formula>0</formula>
    </cfRule>
  </conditionalFormatting>
  <conditionalFormatting sqref="B95">
    <cfRule type="cellIs" dxfId="148" priority="3" stopIfTrue="1" operator="greaterThanOrEqual">
      <formula>0</formula>
    </cfRule>
    <cfRule type="cellIs" dxfId="147" priority="4" stopIfTrue="1" operator="lessThan">
      <formula>0</formula>
    </cfRule>
  </conditionalFormatting>
  <conditionalFormatting sqref="B131">
    <cfRule type="cellIs" dxfId="146" priority="1" stopIfTrue="1" operator="greaterThanOrEqual">
      <formula>0</formula>
    </cfRule>
    <cfRule type="cellIs" dxfId="145" priority="2" stopIfTrue="1" operator="lessThan">
      <formula>0</formula>
    </cfRule>
  </conditionalFormatting>
  <hyperlinks>
    <hyperlink ref="M12" r:id="rId1" xr:uid="{D2488616-49EE-4A7D-A3BC-8F30BC6363D8}"/>
    <hyperlink ref="M9" r:id="rId2" xr:uid="{F4B1F71A-A48F-4C1E-AFAB-6760C8A2B78D}"/>
    <hyperlink ref="M10" r:id="rId3" xr:uid="{43FF96EF-6563-4969-B3BB-F399F2975979}"/>
    <hyperlink ref="M6" r:id="rId4" xr:uid="{543E2B19-04DF-460D-A0C2-7F0774A0CFC9}"/>
    <hyperlink ref="M5" r:id="rId5" xr:uid="{F1853F58-2C35-4113-A1A4-1C776CAFD1A5}"/>
    <hyperlink ref="M13" r:id="rId6" xr:uid="{FFA0010D-C949-45F7-86C1-BBCA29F96991}"/>
    <hyperlink ref="M11" r:id="rId7" xr:uid="{F334B396-6694-4EE7-A90E-2102391131AD}"/>
    <hyperlink ref="M8" r:id="rId8" xr:uid="{1C466FAE-8EA0-42BF-8EE0-BEA313826B44}"/>
    <hyperlink ref="M7" r:id="rId9" xr:uid="{E8890DA0-0010-4901-8D19-5B958A8F934C}"/>
    <hyperlink ref="M14" r:id="rId10" xr:uid="{CF501E56-2D99-4C70-9056-62FC044A182A}"/>
    <hyperlink ref="M15" r:id="rId11" xr:uid="{5386975F-DCB5-4D63-AF18-891FD06A28A7}"/>
    <hyperlink ref="M16" r:id="rId12" xr:uid="{94A0809B-698F-4DD5-9128-5B4037A9447D}"/>
    <hyperlink ref="M38" r:id="rId13" xr:uid="{5117303F-AE07-4A33-BB0C-4E6DCC58F919}"/>
    <hyperlink ref="M34" r:id="rId14" xr:uid="{0171A7CD-DAC6-4B61-881C-6FBBDCB981E6}"/>
    <hyperlink ref="M36" r:id="rId15" xr:uid="{1DD3ECC8-D942-43B1-AC0A-6C51FC441D32}"/>
    <hyperlink ref="M48" r:id="rId16" xr:uid="{F3116084-499D-4779-9031-98B5E79AF3FD}"/>
    <hyperlink ref="M33" r:id="rId17" xr:uid="{ACF68D88-0C0B-44DB-86D1-F9A4C22D769C}"/>
    <hyperlink ref="M40" r:id="rId18" xr:uid="{5F2F5BB9-0E02-4B63-B38D-3B8C99B3D51F}"/>
    <hyperlink ref="M43" r:id="rId19" xr:uid="{4F43F04A-2D64-4FE3-9A12-5F527BDD5C70}"/>
    <hyperlink ref="M76" r:id="rId20" xr:uid="{ACB1055C-B43B-4593-98F5-283507BECC54}"/>
    <hyperlink ref="M42" r:id="rId21" xr:uid="{8C2A2039-6D2B-4BFD-84BA-0923FC9C6DDA}"/>
    <hyperlink ref="M39" r:id="rId22" xr:uid="{6FF6666F-0710-46E8-916B-E2F44F82940A}"/>
    <hyperlink ref="M35" r:id="rId23" xr:uid="{883F1227-58C8-43D5-9553-356C4E76A48C}"/>
    <hyperlink ref="M46" r:id="rId24" xr:uid="{DA71A45A-C792-42BD-A69A-B04B69E10672}"/>
    <hyperlink ref="M69" r:id="rId25" xr:uid="{55F67FBE-FD43-4EFF-9143-2104B781435F}"/>
    <hyperlink ref="M44" r:id="rId26" xr:uid="{12751B6E-9A52-4683-B2F0-BBE0D32EE705}"/>
    <hyperlink ref="M41" r:id="rId27" xr:uid="{FA66CA29-22D9-44BC-B378-69CF5C29CCEC}"/>
    <hyperlink ref="M81" r:id="rId28" xr:uid="{D852C028-9633-47AE-BD35-D379278A7B23}"/>
    <hyperlink ref="M75" r:id="rId29" xr:uid="{34AACEB0-942A-4E62-B54C-E262ACA826F2}"/>
    <hyperlink ref="M72" r:id="rId30" xr:uid="{963A49D1-5015-4DF4-8F15-5C14C1036EAF}"/>
    <hyperlink ref="M79" r:id="rId31" xr:uid="{40E33BB7-9181-40E9-90DD-76F10875EF72}"/>
    <hyperlink ref="M88" r:id="rId32" xr:uid="{E7112CBF-A652-4D4B-BD2C-2145E2184306}"/>
    <hyperlink ref="M86" r:id="rId33" xr:uid="{B809DB5B-F827-44A9-80E7-07232BBA1641}"/>
    <hyperlink ref="M73" r:id="rId34" xr:uid="{66716D61-422B-4113-9512-0412DB31A2D4}"/>
    <hyperlink ref="M78" r:id="rId35" xr:uid="{71F77333-C0BB-4BD3-BFD6-8FA371CE64ED}"/>
    <hyperlink ref="M80" r:id="rId36" xr:uid="{0756EE5F-C96F-4518-A448-E7338D770130}"/>
    <hyperlink ref="M111" r:id="rId37" xr:uid="{61EEC565-7160-4844-AD30-92021BC24A3C}"/>
    <hyperlink ref="M84" r:id="rId38" xr:uid="{FF6583AE-DF32-435D-A019-0610E1AB2B7E}"/>
    <hyperlink ref="M82" r:id="rId39" xr:uid="{F9EBDB95-CB91-49D1-9BE8-3BB178D39A30}"/>
    <hyperlink ref="M77" r:id="rId40" xr:uid="{F270541C-84EE-4F0C-B927-53DF99E07B32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4DF3A-8C38-4D8E-B507-BBF25B1FB896}">
  <dimension ref="A1:K113"/>
  <sheetViews>
    <sheetView topLeftCell="A61" workbookViewId="0">
      <selection activeCell="A112" sqref="A112"/>
    </sheetView>
  </sheetViews>
  <sheetFormatPr baseColWidth="10" defaultRowHeight="13.2"/>
  <cols>
    <col min="1" max="1" width="52.21875" style="406" bestFit="1" customWidth="1"/>
    <col min="2" max="2" width="14.5546875" style="1125" customWidth="1"/>
    <col min="3" max="3" width="11.5546875" style="1125"/>
    <col min="4" max="6" width="11.5546875" style="406"/>
    <col min="7" max="7" width="19.6640625" style="406" customWidth="1"/>
    <col min="8" max="8" width="32.88671875" style="406" bestFit="1" customWidth="1"/>
    <col min="9" max="16384" width="11.5546875" style="406"/>
  </cols>
  <sheetData>
    <row r="1" spans="1:11">
      <c r="A1" s="1168" t="s">
        <v>3600</v>
      </c>
      <c r="B1" s="1169"/>
      <c r="C1" s="1169"/>
    </row>
    <row r="2" spans="1:11">
      <c r="A2" s="1170"/>
      <c r="B2" s="1169"/>
      <c r="C2" s="1169"/>
    </row>
    <row r="3" spans="1:11">
      <c r="A3" s="1170" t="s">
        <v>3235</v>
      </c>
      <c r="B3" s="1169"/>
      <c r="C3" s="1169">
        <v>450000</v>
      </c>
    </row>
    <row r="4" spans="1:11">
      <c r="A4" s="1170" t="s">
        <v>3244</v>
      </c>
      <c r="B4" s="1169"/>
      <c r="C4" s="1169">
        <v>32920</v>
      </c>
    </row>
    <row r="5" spans="1:11">
      <c r="A5" s="1171" t="s">
        <v>3229</v>
      </c>
      <c r="B5" s="1169">
        <v>8000</v>
      </c>
      <c r="C5" s="1169"/>
    </row>
    <row r="6" spans="1:11">
      <c r="A6" s="1171" t="s">
        <v>3230</v>
      </c>
      <c r="B6" s="1169">
        <v>8000</v>
      </c>
      <c r="C6" s="1169"/>
    </row>
    <row r="7" spans="1:11">
      <c r="A7" s="1171" t="s">
        <v>3623</v>
      </c>
      <c r="B7" s="1169">
        <v>24000</v>
      </c>
      <c r="C7" s="1169"/>
    </row>
    <row r="8" spans="1:11">
      <c r="A8" s="1191" t="s">
        <v>3231</v>
      </c>
      <c r="B8" s="1521">
        <v>60000</v>
      </c>
      <c r="C8" s="1169"/>
    </row>
    <row r="9" spans="1:11">
      <c r="A9" s="1171" t="s">
        <v>3614</v>
      </c>
      <c r="B9" s="1169">
        <v>15000</v>
      </c>
      <c r="C9" s="1169"/>
    </row>
    <row r="10" spans="1:11">
      <c r="A10" s="1171" t="s">
        <v>3629</v>
      </c>
      <c r="B10" s="1169">
        <v>5000</v>
      </c>
      <c r="C10" s="1169"/>
    </row>
    <row r="11" spans="1:11">
      <c r="A11" s="1171" t="s">
        <v>3602</v>
      </c>
      <c r="B11" s="1169"/>
      <c r="C11" s="1169"/>
      <c r="H11" s="477" t="s">
        <v>3257</v>
      </c>
      <c r="I11" s="406" t="s">
        <v>3250</v>
      </c>
      <c r="J11" s="406" t="s">
        <v>3251</v>
      </c>
      <c r="K11" s="406" t="s">
        <v>2263</v>
      </c>
    </row>
    <row r="12" spans="1:11">
      <c r="A12" s="1171" t="s">
        <v>3234</v>
      </c>
      <c r="B12" s="1169">
        <v>3500</v>
      </c>
      <c r="C12" s="1169"/>
      <c r="H12" s="406" t="s">
        <v>3245</v>
      </c>
      <c r="I12" s="406">
        <v>770</v>
      </c>
      <c r="J12" s="406">
        <v>760</v>
      </c>
    </row>
    <row r="13" spans="1:11">
      <c r="A13" s="1171" t="s">
        <v>3624</v>
      </c>
      <c r="B13" s="1169">
        <v>20000</v>
      </c>
      <c r="C13" s="1169"/>
      <c r="E13" s="1125"/>
      <c r="H13" s="406" t="s">
        <v>3246</v>
      </c>
      <c r="I13" s="406">
        <v>769</v>
      </c>
      <c r="J13" s="406">
        <v>630</v>
      </c>
    </row>
    <row r="14" spans="1:11">
      <c r="A14" s="1171" t="s">
        <v>3626</v>
      </c>
      <c r="B14" s="1169">
        <v>0</v>
      </c>
      <c r="C14" s="1169"/>
      <c r="E14" s="1125"/>
    </row>
    <row r="15" spans="1:11">
      <c r="A15" s="1523" t="s">
        <v>473</v>
      </c>
      <c r="C15" s="1169"/>
      <c r="E15" s="1125"/>
    </row>
    <row r="16" spans="1:11">
      <c r="A16" s="1171" t="s">
        <v>3237</v>
      </c>
      <c r="B16" s="1169">
        <v>70000</v>
      </c>
      <c r="C16" s="1169"/>
      <c r="H16" s="1132" t="s">
        <v>3247</v>
      </c>
      <c r="I16" s="1132">
        <v>178</v>
      </c>
      <c r="J16" s="1132">
        <v>143.37</v>
      </c>
    </row>
    <row r="17" spans="1:11">
      <c r="A17" s="1191" t="s">
        <v>3666</v>
      </c>
      <c r="B17" s="1521">
        <v>30000</v>
      </c>
      <c r="C17" s="1169"/>
      <c r="H17" s="1132" t="s">
        <v>3249</v>
      </c>
      <c r="I17" s="1132">
        <v>384</v>
      </c>
      <c r="J17" s="1132">
        <v>467.64</v>
      </c>
    </row>
    <row r="18" spans="1:11">
      <c r="A18" s="1168" t="s">
        <v>3233</v>
      </c>
      <c r="B18" s="1172">
        <f>SUM(B5:B17)</f>
        <v>243500</v>
      </c>
      <c r="C18" s="1172"/>
      <c r="H18" s="1132" t="s">
        <v>3248</v>
      </c>
      <c r="I18" s="1132">
        <v>1184</v>
      </c>
      <c r="J18" s="1132">
        <v>1000.38</v>
      </c>
    </row>
    <row r="19" spans="1:11">
      <c r="A19" s="1170" t="s">
        <v>3236</v>
      </c>
      <c r="B19" s="1169"/>
      <c r="C19" s="1169">
        <f>SUM(C3:C17)</f>
        <v>482920</v>
      </c>
      <c r="H19" s="406" t="s">
        <v>3209</v>
      </c>
      <c r="J19" s="406">
        <v>2000</v>
      </c>
    </row>
    <row r="20" spans="1:11">
      <c r="A20" s="1170"/>
      <c r="B20" s="1169"/>
      <c r="C20" s="1169"/>
    </row>
    <row r="21" spans="1:11">
      <c r="A21" s="1168" t="s">
        <v>3625</v>
      </c>
      <c r="B21" s="1173">
        <f>C19-B18</f>
        <v>239420</v>
      </c>
      <c r="C21" s="1169"/>
      <c r="H21" s="406" t="s">
        <v>3252</v>
      </c>
      <c r="I21" s="406">
        <v>2000</v>
      </c>
    </row>
    <row r="22" spans="1:11">
      <c r="H22" s="406" t="s">
        <v>3253</v>
      </c>
      <c r="I22" s="406">
        <v>2200</v>
      </c>
    </row>
    <row r="23" spans="1:11" s="477" customFormat="1">
      <c r="A23" s="476" t="s">
        <v>3654</v>
      </c>
      <c r="H23" s="476"/>
      <c r="I23" s="476"/>
    </row>
    <row r="24" spans="1:11">
      <c r="H24" s="476" t="s">
        <v>3255</v>
      </c>
      <c r="I24" s="406">
        <v>298.33999999999997</v>
      </c>
      <c r="J24" s="406">
        <v>286.2</v>
      </c>
    </row>
    <row r="25" spans="1:11">
      <c r="H25" s="476" t="s">
        <v>3256</v>
      </c>
      <c r="I25" s="406">
        <v>791</v>
      </c>
    </row>
    <row r="26" spans="1:11">
      <c r="A26" s="1168" t="s">
        <v>3705</v>
      </c>
      <c r="B26" s="1169"/>
      <c r="C26" s="1169"/>
      <c r="H26" s="476" t="s">
        <v>2525</v>
      </c>
      <c r="I26" s="406">
        <v>475</v>
      </c>
    </row>
    <row r="27" spans="1:11">
      <c r="A27" s="1170"/>
      <c r="B27" s="1169"/>
      <c r="C27" s="1169"/>
      <c r="H27" s="476" t="s">
        <v>67</v>
      </c>
      <c r="I27" s="406">
        <v>3000</v>
      </c>
    </row>
    <row r="28" spans="1:11">
      <c r="A28" s="1170" t="s">
        <v>3235</v>
      </c>
      <c r="B28" s="1169"/>
      <c r="C28" s="1169">
        <v>450000</v>
      </c>
      <c r="H28" s="477" t="s">
        <v>2263</v>
      </c>
      <c r="I28" s="406">
        <f>SUM(I12:I27)</f>
        <v>12049.34</v>
      </c>
      <c r="J28" s="406">
        <f>SUM(J12:J26)</f>
        <v>5287.5899999999992</v>
      </c>
      <c r="K28" s="1131">
        <f>I28+J28</f>
        <v>17336.93</v>
      </c>
    </row>
    <row r="29" spans="1:11">
      <c r="A29" s="1171" t="s">
        <v>3668</v>
      </c>
      <c r="B29" s="1169"/>
      <c r="C29" s="1169">
        <v>10600</v>
      </c>
    </row>
    <row r="30" spans="1:11">
      <c r="A30" s="1171" t="s">
        <v>3706</v>
      </c>
      <c r="B30" s="1169"/>
      <c r="C30" s="1169">
        <v>2090</v>
      </c>
    </row>
    <row r="31" spans="1:11">
      <c r="A31" s="1552" t="s">
        <v>3237</v>
      </c>
      <c r="B31" s="1173">
        <v>100000</v>
      </c>
      <c r="C31" s="1173"/>
      <c r="D31" s="1554"/>
    </row>
    <row r="32" spans="1:11">
      <c r="A32" s="1171" t="s">
        <v>3231</v>
      </c>
      <c r="B32" s="1524">
        <v>60000</v>
      </c>
      <c r="C32" s="1169"/>
      <c r="D32" s="476" t="s">
        <v>3744</v>
      </c>
      <c r="H32" s="477" t="s">
        <v>3335</v>
      </c>
    </row>
    <row r="33" spans="1:11">
      <c r="A33" s="1171" t="s">
        <v>3623</v>
      </c>
      <c r="B33" s="1169">
        <v>24000</v>
      </c>
      <c r="C33" s="1169"/>
      <c r="D33" s="476" t="s">
        <v>3745</v>
      </c>
      <c r="H33" s="406" t="s">
        <v>3245</v>
      </c>
      <c r="I33" s="476">
        <f>77*5</f>
        <v>385</v>
      </c>
      <c r="J33" s="406">
        <f>76*5</f>
        <v>380</v>
      </c>
    </row>
    <row r="34" spans="1:11">
      <c r="A34" s="1171" t="s">
        <v>3624</v>
      </c>
      <c r="B34" s="1169">
        <v>20000</v>
      </c>
      <c r="C34" s="1169"/>
      <c r="H34" s="406" t="s">
        <v>3246</v>
      </c>
      <c r="I34" s="406">
        <f>769/2</f>
        <v>384.5</v>
      </c>
      <c r="J34" s="406">
        <f>630/2</f>
        <v>315</v>
      </c>
    </row>
    <row r="35" spans="1:11">
      <c r="A35" s="1552" t="s">
        <v>3614</v>
      </c>
      <c r="B35" s="1173">
        <v>19433.560000000001</v>
      </c>
      <c r="C35" s="1173"/>
      <c r="D35" s="1553" t="s">
        <v>232</v>
      </c>
      <c r="H35" s="1132" t="s">
        <v>3247</v>
      </c>
      <c r="I35" s="1132">
        <f>178/2</f>
        <v>89</v>
      </c>
      <c r="J35" s="1132">
        <f>143.37/2</f>
        <v>71.685000000000002</v>
      </c>
    </row>
    <row r="36" spans="1:11">
      <c r="A36" s="1171" t="s">
        <v>3229</v>
      </c>
      <c r="B36" s="1169">
        <v>8000</v>
      </c>
      <c r="C36" s="1169"/>
      <c r="D36" s="476" t="s">
        <v>3746</v>
      </c>
      <c r="H36" s="1132" t="s">
        <v>3249</v>
      </c>
      <c r="I36" s="1132">
        <f>384*5/12</f>
        <v>160</v>
      </c>
      <c r="J36" s="1132">
        <f>467.64*5/12</f>
        <v>194.85</v>
      </c>
    </row>
    <row r="37" spans="1:11">
      <c r="A37" s="1171" t="s">
        <v>3230</v>
      </c>
      <c r="B37" s="1169">
        <v>8000</v>
      </c>
      <c r="C37" s="1169"/>
      <c r="D37" s="476" t="s">
        <v>3746</v>
      </c>
      <c r="H37" s="1132" t="s">
        <v>3248</v>
      </c>
      <c r="I37" s="1132">
        <f>1184/2</f>
        <v>592</v>
      </c>
      <c r="J37" s="1132">
        <v>500</v>
      </c>
    </row>
    <row r="38" spans="1:11">
      <c r="A38" s="1552" t="s">
        <v>3747</v>
      </c>
      <c r="B38" s="1173">
        <f>440*12+80*12</f>
        <v>6240</v>
      </c>
      <c r="C38" s="1173"/>
      <c r="D38" s="1553" t="s">
        <v>232</v>
      </c>
      <c r="H38" s="406" t="s">
        <v>3209</v>
      </c>
      <c r="J38" s="406">
        <v>600</v>
      </c>
    </row>
    <row r="39" spans="1:11">
      <c r="A39" s="1171" t="s">
        <v>3602</v>
      </c>
      <c r="B39" s="1169">
        <v>0</v>
      </c>
      <c r="C39" s="1169"/>
      <c r="H39" s="406" t="s">
        <v>3252</v>
      </c>
      <c r="I39" s="406">
        <v>200</v>
      </c>
    </row>
    <row r="40" spans="1:11">
      <c r="A40" s="1171"/>
      <c r="B40" s="1521"/>
      <c r="C40" s="1169"/>
      <c r="H40" s="406" t="s">
        <v>3253</v>
      </c>
      <c r="I40" s="406">
        <v>500</v>
      </c>
    </row>
    <row r="41" spans="1:11">
      <c r="A41" s="1171" t="s">
        <v>3670</v>
      </c>
      <c r="B41" s="1169">
        <v>0</v>
      </c>
      <c r="C41" s="1169"/>
      <c r="H41" s="476" t="s">
        <v>3254</v>
      </c>
      <c r="I41" s="476">
        <f>3500-1100</f>
        <v>2400</v>
      </c>
      <c r="J41" s="477"/>
      <c r="K41" s="477"/>
    </row>
    <row r="42" spans="1:11">
      <c r="A42" s="1523" t="s">
        <v>3669</v>
      </c>
      <c r="B42" s="1125">
        <v>14000</v>
      </c>
      <c r="C42" s="1169"/>
      <c r="H42" s="476" t="s">
        <v>3255</v>
      </c>
      <c r="I42" s="406">
        <f>298.34/2</f>
        <v>149.16999999999999</v>
      </c>
      <c r="J42" s="406">
        <f>286.2/2</f>
        <v>143.1</v>
      </c>
    </row>
    <row r="43" spans="1:11">
      <c r="A43" s="1191" t="s">
        <v>3671</v>
      </c>
      <c r="B43" s="1521">
        <v>0</v>
      </c>
      <c r="C43" s="1169"/>
      <c r="H43" s="476" t="s">
        <v>3256</v>
      </c>
      <c r="I43" s="406">
        <v>791</v>
      </c>
    </row>
    <row r="44" spans="1:11">
      <c r="A44" s="1552" t="s">
        <v>3667</v>
      </c>
      <c r="B44" s="1173">
        <v>4000</v>
      </c>
      <c r="C44" s="1173"/>
      <c r="D44" s="1554"/>
      <c r="H44" s="476" t="s">
        <v>2525</v>
      </c>
      <c r="I44" s="406">
        <v>475</v>
      </c>
    </row>
    <row r="45" spans="1:11">
      <c r="A45" s="1168" t="s">
        <v>3233</v>
      </c>
      <c r="B45" s="1172">
        <f>SUM(B28:B44)</f>
        <v>263673.56</v>
      </c>
      <c r="C45" s="1172"/>
      <c r="H45" s="476" t="s">
        <v>67</v>
      </c>
      <c r="I45" s="406">
        <v>700</v>
      </c>
    </row>
    <row r="46" spans="1:11">
      <c r="A46" s="1170" t="s">
        <v>3236</v>
      </c>
      <c r="B46" s="1169"/>
      <c r="C46" s="1172">
        <f>SUM(C28:C43)</f>
        <v>462690</v>
      </c>
      <c r="H46" s="477" t="s">
        <v>2263</v>
      </c>
      <c r="I46" s="406">
        <f>SUM(I33:I45)</f>
        <v>6825.67</v>
      </c>
      <c r="J46" s="406">
        <f>SUM(J33:J44)</f>
        <v>2204.6349999999998</v>
      </c>
      <c r="K46" s="1131">
        <f>I46+J46</f>
        <v>9030.3050000000003</v>
      </c>
    </row>
    <row r="47" spans="1:11">
      <c r="A47" s="1170"/>
      <c r="B47" s="1169"/>
      <c r="C47" s="1169"/>
    </row>
    <row r="48" spans="1:11">
      <c r="A48" s="1168" t="s">
        <v>3625</v>
      </c>
      <c r="B48" s="1173">
        <f>C46-B45</f>
        <v>199016.44</v>
      </c>
      <c r="C48" s="1169"/>
    </row>
    <row r="49" spans="1:6">
      <c r="A49" s="476" t="s">
        <v>3654</v>
      </c>
      <c r="B49" s="477"/>
      <c r="C49" s="477"/>
    </row>
    <row r="50" spans="1:6">
      <c r="A50" s="476" t="s">
        <v>3708</v>
      </c>
      <c r="E50" s="406">
        <v>162690</v>
      </c>
    </row>
    <row r="51" spans="1:6">
      <c r="A51" s="476" t="s">
        <v>3707</v>
      </c>
      <c r="F51" s="406">
        <f>112.5*12*12</f>
        <v>16200</v>
      </c>
    </row>
    <row r="52" spans="1:6">
      <c r="A52" s="476" t="s">
        <v>3709</v>
      </c>
      <c r="B52" s="1532">
        <v>56.25</v>
      </c>
    </row>
    <row r="53" spans="1:6">
      <c r="A53" s="476" t="s">
        <v>3710</v>
      </c>
      <c r="B53" s="1532"/>
    </row>
    <row r="54" spans="1:6">
      <c r="A54" s="476" t="s">
        <v>3711</v>
      </c>
      <c r="B54" s="1532"/>
    </row>
    <row r="55" spans="1:6">
      <c r="A55" s="476" t="s">
        <v>3712</v>
      </c>
      <c r="B55" s="1125">
        <f>1819*144</f>
        <v>261936</v>
      </c>
    </row>
    <row r="56" spans="1:6">
      <c r="A56" s="476" t="s">
        <v>3713</v>
      </c>
      <c r="B56" s="1125">
        <f>56.25*144</f>
        <v>8100</v>
      </c>
    </row>
    <row r="60" spans="1:6">
      <c r="A60" s="1168" t="s">
        <v>3705</v>
      </c>
      <c r="B60" s="1169"/>
      <c r="C60" s="1169"/>
    </row>
    <row r="61" spans="1:6">
      <c r="A61" s="1170"/>
      <c r="B61" s="1169"/>
      <c r="C61" s="1169"/>
    </row>
    <row r="62" spans="1:6">
      <c r="A62" s="1170" t="s">
        <v>3235</v>
      </c>
      <c r="B62" s="1169"/>
      <c r="C62" s="1169">
        <v>450000</v>
      </c>
    </row>
    <row r="63" spans="1:6">
      <c r="A63" s="1171" t="s">
        <v>3668</v>
      </c>
      <c r="B63" s="1169"/>
      <c r="C63" s="1169">
        <v>10600</v>
      </c>
    </row>
    <row r="64" spans="1:6">
      <c r="A64" s="1171" t="s">
        <v>3954</v>
      </c>
      <c r="B64" s="1169"/>
      <c r="C64" s="1169">
        <v>2090</v>
      </c>
    </row>
    <row r="65" spans="1:4">
      <c r="A65" s="1552" t="s">
        <v>3237</v>
      </c>
      <c r="B65" s="1173">
        <v>100000</v>
      </c>
      <c r="C65" s="1173"/>
      <c r="D65" s="1554"/>
    </row>
    <row r="66" spans="1:4">
      <c r="A66" s="1171" t="s">
        <v>3231</v>
      </c>
      <c r="B66" s="1524">
        <v>50000</v>
      </c>
      <c r="C66" s="1169"/>
      <c r="D66" s="476" t="s">
        <v>3744</v>
      </c>
    </row>
    <row r="67" spans="1:4">
      <c r="A67" s="1171" t="s">
        <v>3624</v>
      </c>
      <c r="B67" s="1169">
        <v>54000</v>
      </c>
      <c r="C67" s="1169"/>
    </row>
    <row r="68" spans="1:4">
      <c r="A68" s="1171" t="s">
        <v>3831</v>
      </c>
      <c r="B68" s="1169">
        <v>24400</v>
      </c>
      <c r="C68" s="1169"/>
      <c r="D68" s="476" t="s">
        <v>3745</v>
      </c>
    </row>
    <row r="69" spans="1:4">
      <c r="A69" s="1171" t="s">
        <v>3917</v>
      </c>
      <c r="B69" s="1169">
        <v>18000</v>
      </c>
      <c r="C69" s="1169"/>
      <c r="D69" s="476"/>
    </row>
    <row r="70" spans="1:4">
      <c r="A70" s="1171" t="s">
        <v>3229</v>
      </c>
      <c r="B70" s="1169">
        <v>9077.74</v>
      </c>
      <c r="C70" s="1169"/>
      <c r="D70" s="476" t="s">
        <v>3947</v>
      </c>
    </row>
    <row r="71" spans="1:4">
      <c r="A71" s="1171" t="s">
        <v>3230</v>
      </c>
      <c r="B71" s="1169">
        <v>5940.46</v>
      </c>
      <c r="C71" s="1169"/>
      <c r="D71" s="476" t="s">
        <v>3947</v>
      </c>
    </row>
    <row r="72" spans="1:4">
      <c r="A72" s="1552" t="s">
        <v>3667</v>
      </c>
      <c r="B72" s="1173">
        <v>3800</v>
      </c>
      <c r="C72" s="1173"/>
      <c r="D72" s="1554"/>
    </row>
    <row r="73" spans="1:4">
      <c r="A73" s="1171" t="s">
        <v>3861</v>
      </c>
      <c r="B73" s="1169">
        <v>0</v>
      </c>
      <c r="C73" s="1169"/>
    </row>
    <row r="74" spans="1:4">
      <c r="A74" s="1171" t="s">
        <v>3670</v>
      </c>
      <c r="B74" s="1169">
        <v>0</v>
      </c>
      <c r="C74" s="1169"/>
    </row>
    <row r="75" spans="1:4">
      <c r="A75" s="1523" t="s">
        <v>3948</v>
      </c>
      <c r="B75" s="1125">
        <v>0</v>
      </c>
      <c r="C75" s="1169"/>
    </row>
    <row r="76" spans="1:4">
      <c r="A76" s="1191" t="s">
        <v>3671</v>
      </c>
      <c r="B76" s="1521">
        <v>0</v>
      </c>
      <c r="C76" s="1169"/>
    </row>
    <row r="77" spans="1:4">
      <c r="A77" s="1168" t="s">
        <v>3233</v>
      </c>
      <c r="B77" s="1172">
        <f>SUM(B62:B76)</f>
        <v>265218.19999999995</v>
      </c>
      <c r="C77" s="1172"/>
    </row>
    <row r="78" spans="1:4">
      <c r="A78" s="1170" t="s">
        <v>3236</v>
      </c>
      <c r="B78" s="1169"/>
      <c r="C78" s="1172">
        <f>SUM(C62:C76)</f>
        <v>462690</v>
      </c>
    </row>
    <row r="79" spans="1:4">
      <c r="A79" s="1170"/>
      <c r="B79" s="1169"/>
      <c r="C79" s="1169"/>
    </row>
    <row r="80" spans="1:4">
      <c r="A80" s="1168" t="s">
        <v>3625</v>
      </c>
      <c r="B80" s="1173">
        <f>C78-B77</f>
        <v>197471.80000000005</v>
      </c>
      <c r="C80" s="1169"/>
    </row>
    <row r="81" spans="1:5">
      <c r="A81" s="476" t="s">
        <v>3654</v>
      </c>
      <c r="B81" s="477"/>
      <c r="C81" s="477"/>
    </row>
    <row r="82" spans="1:5">
      <c r="A82" s="476" t="s">
        <v>3708</v>
      </c>
      <c r="E82" s="406">
        <v>162690</v>
      </c>
    </row>
    <row r="83" spans="1:5">
      <c r="A83" s="476" t="s">
        <v>3707</v>
      </c>
    </row>
    <row r="84" spans="1:5">
      <c r="A84" s="476" t="s">
        <v>3709</v>
      </c>
      <c r="B84" s="1532">
        <v>56.25</v>
      </c>
    </row>
    <row r="85" spans="1:5">
      <c r="A85" s="476" t="s">
        <v>3710</v>
      </c>
      <c r="B85" s="1532"/>
    </row>
    <row r="86" spans="1:5">
      <c r="A86" s="476" t="s">
        <v>3711</v>
      </c>
      <c r="B86" s="1532"/>
    </row>
    <row r="87" spans="1:5">
      <c r="A87" s="476" t="s">
        <v>3712</v>
      </c>
      <c r="B87" s="1125">
        <f>1819*144</f>
        <v>261936</v>
      </c>
    </row>
    <row r="88" spans="1:5">
      <c r="A88" s="476" t="s">
        <v>3713</v>
      </c>
      <c r="B88" s="1125">
        <f>56.25*144</f>
        <v>8100</v>
      </c>
    </row>
    <row r="91" spans="1:5">
      <c r="A91" s="1168" t="s">
        <v>3960</v>
      </c>
      <c r="B91" s="1169"/>
      <c r="C91" s="1169"/>
    </row>
    <row r="92" spans="1:5">
      <c r="A92" s="1170"/>
      <c r="B92" s="1169"/>
      <c r="C92" s="1169"/>
    </row>
    <row r="93" spans="1:5">
      <c r="A93" s="1170" t="s">
        <v>3235</v>
      </c>
      <c r="B93" s="1169"/>
      <c r="C93" s="1169">
        <v>450000</v>
      </c>
    </row>
    <row r="94" spans="1:5">
      <c r="A94" s="1171" t="s">
        <v>3668</v>
      </c>
      <c r="B94" s="1169"/>
      <c r="C94" s="1169">
        <v>10600</v>
      </c>
    </row>
    <row r="95" spans="1:5">
      <c r="A95" s="1171" t="s">
        <v>3954</v>
      </c>
      <c r="B95" s="1169"/>
      <c r="C95" s="1169">
        <v>2090</v>
      </c>
    </row>
    <row r="96" spans="1:5">
      <c r="A96" s="1552" t="s">
        <v>3237</v>
      </c>
      <c r="B96" s="1173">
        <v>100000</v>
      </c>
      <c r="C96" s="1173"/>
      <c r="D96" s="1554"/>
    </row>
    <row r="97" spans="1:5">
      <c r="A97" s="1171" t="s">
        <v>3231</v>
      </c>
      <c r="B97" s="1524">
        <v>60000</v>
      </c>
      <c r="C97" s="1169"/>
      <c r="D97" s="476" t="s">
        <v>3744</v>
      </c>
    </row>
    <row r="98" spans="1:5">
      <c r="A98" s="1171" t="s">
        <v>3624</v>
      </c>
      <c r="B98" s="1169">
        <v>80000</v>
      </c>
      <c r="C98" s="1169"/>
    </row>
    <row r="99" spans="1:5">
      <c r="A99" s="1171" t="s">
        <v>3961</v>
      </c>
      <c r="B99" s="1169">
        <f>12185+10285</f>
        <v>22470</v>
      </c>
      <c r="C99" s="1169"/>
      <c r="D99" s="476" t="s">
        <v>3745</v>
      </c>
    </row>
    <row r="100" spans="1:5">
      <c r="A100" s="1171" t="s">
        <v>3917</v>
      </c>
      <c r="B100" s="1169">
        <v>0</v>
      </c>
      <c r="C100" s="1169"/>
      <c r="D100" s="476"/>
    </row>
    <row r="101" spans="1:5">
      <c r="A101" s="1191" t="s">
        <v>3671</v>
      </c>
      <c r="B101" s="1521">
        <v>0</v>
      </c>
      <c r="C101" s="1169"/>
    </row>
    <row r="102" spans="1:5">
      <c r="A102" s="1168" t="s">
        <v>3233</v>
      </c>
      <c r="B102" s="1172">
        <f>SUM(B93:B101)</f>
        <v>262470</v>
      </c>
      <c r="C102" s="1172"/>
    </row>
    <row r="103" spans="1:5">
      <c r="A103" s="1170" t="s">
        <v>3236</v>
      </c>
      <c r="B103" s="1169"/>
      <c r="C103" s="1172">
        <f>SUM(C93:C101)</f>
        <v>462690</v>
      </c>
    </row>
    <row r="104" spans="1:5">
      <c r="A104" s="1170"/>
      <c r="B104" s="1169"/>
      <c r="C104" s="1169"/>
    </row>
    <row r="105" spans="1:5">
      <c r="A105" s="1168" t="s">
        <v>3625</v>
      </c>
      <c r="B105" s="1173">
        <f>C103-B102</f>
        <v>200220</v>
      </c>
      <c r="C105" s="1169"/>
    </row>
    <row r="106" spans="1:5">
      <c r="A106" s="476" t="s">
        <v>3654</v>
      </c>
      <c r="B106" s="477"/>
      <c r="C106" s="477"/>
    </row>
    <row r="107" spans="1:5">
      <c r="A107" s="476" t="s">
        <v>3708</v>
      </c>
      <c r="E107" s="406">
        <v>162690</v>
      </c>
    </row>
    <row r="108" spans="1:5">
      <c r="A108" s="476" t="s">
        <v>3707</v>
      </c>
    </row>
    <row r="109" spans="1:5">
      <c r="A109" s="476" t="s">
        <v>3709</v>
      </c>
      <c r="B109" s="1532">
        <v>56.25</v>
      </c>
    </row>
    <row r="110" spans="1:5">
      <c r="A110" s="476" t="s">
        <v>3710</v>
      </c>
      <c r="B110" s="1532"/>
    </row>
    <row r="111" spans="1:5">
      <c r="A111" s="476" t="s">
        <v>3711</v>
      </c>
      <c r="B111" s="1532"/>
    </row>
    <row r="112" spans="1:5">
      <c r="A112" s="476" t="s">
        <v>3712</v>
      </c>
      <c r="B112" s="1125">
        <f>1819*144</f>
        <v>261936</v>
      </c>
    </row>
    <row r="113" spans="1:2">
      <c r="A113" s="476" t="s">
        <v>3713</v>
      </c>
      <c r="B113" s="1125">
        <f>56.25*144</f>
        <v>8100</v>
      </c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E93F8-D107-40D1-82BC-0A5F4C246713}">
  <dimension ref="A1:G31"/>
  <sheetViews>
    <sheetView workbookViewId="0">
      <selection activeCell="G23" sqref="G23"/>
    </sheetView>
  </sheetViews>
  <sheetFormatPr baseColWidth="10" defaultRowHeight="13.2"/>
  <cols>
    <col min="1" max="1" width="30.109375" bestFit="1" customWidth="1"/>
    <col min="2" max="2" width="13.44140625" style="92" customWidth="1"/>
    <col min="3" max="3" width="16.77734375" bestFit="1" customWidth="1"/>
    <col min="4" max="4" width="18.44140625" bestFit="1" customWidth="1"/>
    <col min="5" max="5" width="19.6640625" bestFit="1" customWidth="1"/>
  </cols>
  <sheetData>
    <row r="1" spans="1:7">
      <c r="A1" s="3" t="s">
        <v>5010</v>
      </c>
      <c r="B1" s="2137" t="s">
        <v>5011</v>
      </c>
      <c r="C1" s="379"/>
      <c r="G1" t="s">
        <v>5107</v>
      </c>
    </row>
    <row r="2" spans="1:7">
      <c r="A2" t="s">
        <v>5085</v>
      </c>
      <c r="B2" s="92">
        <v>12256.24</v>
      </c>
      <c r="C2" s="379"/>
      <c r="G2" s="92">
        <v>12256.24</v>
      </c>
    </row>
    <row r="3" spans="1:7">
      <c r="A3" t="s">
        <v>5086</v>
      </c>
      <c r="B3" s="92">
        <v>12250</v>
      </c>
      <c r="C3" s="379"/>
      <c r="G3" s="92">
        <v>12250</v>
      </c>
    </row>
    <row r="4" spans="1:7">
      <c r="A4" t="s">
        <v>5084</v>
      </c>
      <c r="B4" s="92">
        <v>10000</v>
      </c>
      <c r="C4" s="379"/>
      <c r="G4" s="92">
        <v>10000</v>
      </c>
    </row>
    <row r="5" spans="1:7">
      <c r="A5" t="s">
        <v>5072</v>
      </c>
      <c r="B5" s="92">
        <f>39520.55-3889.5</f>
        <v>35631.050000000003</v>
      </c>
      <c r="C5" s="379"/>
      <c r="D5" s="92"/>
      <c r="G5" s="92">
        <f>39520.55-3889.5</f>
        <v>35631.050000000003</v>
      </c>
    </row>
    <row r="6" spans="1:7">
      <c r="A6" t="s">
        <v>3602</v>
      </c>
      <c r="B6" s="92">
        <v>3889.5</v>
      </c>
      <c r="C6" s="379"/>
      <c r="D6" s="92"/>
      <c r="G6" s="92">
        <v>3889.5</v>
      </c>
    </row>
    <row r="7" spans="1:7">
      <c r="A7" t="s">
        <v>5073</v>
      </c>
      <c r="B7" s="92">
        <v>23303.439999999999</v>
      </c>
      <c r="C7" s="379"/>
      <c r="D7" s="92"/>
      <c r="G7" s="92">
        <v>23303.439999999999</v>
      </c>
    </row>
    <row r="8" spans="1:7">
      <c r="A8" t="s">
        <v>5012</v>
      </c>
      <c r="B8" s="92">
        <v>45000</v>
      </c>
      <c r="C8" s="379"/>
      <c r="D8" s="92"/>
      <c r="G8" s="92">
        <v>45000</v>
      </c>
    </row>
    <row r="9" spans="1:7">
      <c r="A9" t="s">
        <v>5013</v>
      </c>
      <c r="B9" s="92">
        <v>64631</v>
      </c>
      <c r="C9" s="379"/>
      <c r="D9" s="92"/>
      <c r="G9" s="92">
        <v>64631</v>
      </c>
    </row>
    <row r="10" spans="1:7">
      <c r="A10" t="s">
        <v>5087</v>
      </c>
      <c r="B10" s="92">
        <v>48000</v>
      </c>
      <c r="C10" s="379"/>
      <c r="D10" s="92"/>
      <c r="G10" s="92">
        <v>48000</v>
      </c>
    </row>
    <row r="11" spans="1:7">
      <c r="A11" t="s">
        <v>5070</v>
      </c>
      <c r="C11" s="379">
        <v>148151.85</v>
      </c>
      <c r="D11" s="92"/>
      <c r="G11" s="92"/>
    </row>
    <row r="12" spans="1:7">
      <c r="A12" t="s">
        <v>5071</v>
      </c>
      <c r="C12" s="379">
        <v>211000</v>
      </c>
      <c r="D12" s="92"/>
      <c r="G12" s="92"/>
    </row>
    <row r="13" spans="1:7">
      <c r="A13" t="s">
        <v>5083</v>
      </c>
      <c r="C13" s="379"/>
      <c r="D13" s="92"/>
      <c r="G13" s="92"/>
    </row>
    <row r="14" spans="1:7">
      <c r="A14" t="s">
        <v>5074</v>
      </c>
      <c r="B14" s="92">
        <v>11347</v>
      </c>
      <c r="C14" s="379"/>
      <c r="D14" s="92"/>
      <c r="G14" s="92"/>
    </row>
    <row r="15" spans="1:7">
      <c r="A15" t="s">
        <v>5075</v>
      </c>
      <c r="B15" s="92">
        <v>8046.2</v>
      </c>
      <c r="C15" s="379"/>
      <c r="D15" s="92"/>
      <c r="G15" s="92"/>
    </row>
    <row r="16" spans="1:7">
      <c r="A16" t="s">
        <v>5076</v>
      </c>
      <c r="B16" s="92">
        <v>703.74</v>
      </c>
      <c r="C16" s="379"/>
      <c r="D16" s="92"/>
      <c r="G16" s="92"/>
    </row>
    <row r="17" spans="1:7">
      <c r="A17" t="s">
        <v>5077</v>
      </c>
      <c r="B17" s="92">
        <v>3274</v>
      </c>
      <c r="C17" s="379"/>
      <c r="D17" s="92"/>
      <c r="G17" s="92"/>
    </row>
    <row r="18" spans="1:7">
      <c r="A18" t="s">
        <v>5078</v>
      </c>
      <c r="B18" s="92">
        <v>1655</v>
      </c>
      <c r="C18" s="379"/>
      <c r="D18" s="92"/>
      <c r="G18" s="92"/>
    </row>
    <row r="19" spans="1:7">
      <c r="A19" t="s">
        <v>5079</v>
      </c>
      <c r="C19" s="379"/>
      <c r="D19" s="92">
        <v>6000</v>
      </c>
      <c r="G19" s="92"/>
    </row>
    <row r="20" spans="1:7">
      <c r="A20" t="s">
        <v>5080</v>
      </c>
      <c r="C20" s="379"/>
      <c r="D20" s="92">
        <f>36631.31</f>
        <v>36631.31</v>
      </c>
      <c r="G20" s="92"/>
    </row>
    <row r="21" spans="1:7">
      <c r="A21" t="s">
        <v>5081</v>
      </c>
      <c r="C21" s="379"/>
      <c r="D21" s="92">
        <f>200000*0.8639</f>
        <v>172780</v>
      </c>
      <c r="G21" s="92"/>
    </row>
    <row r="22" spans="1:7">
      <c r="C22" s="379"/>
      <c r="D22" s="92"/>
      <c r="G22" s="92"/>
    </row>
    <row r="23" spans="1:7">
      <c r="A23" s="3" t="s">
        <v>5082</v>
      </c>
      <c r="B23" s="98">
        <f>SUM(B2:B22)</f>
        <v>279987.17</v>
      </c>
      <c r="C23" s="92">
        <f>SUM(C11:C22)</f>
        <v>359151.85</v>
      </c>
      <c r="D23" s="92">
        <f>SUM(D19:D22)</f>
        <v>215411.31</v>
      </c>
      <c r="E23" s="2178">
        <f>D23+C23+B23</f>
        <v>854550.32999999984</v>
      </c>
      <c r="G23" s="98">
        <f>SUM(G2:G22)</f>
        <v>254961.23</v>
      </c>
    </row>
    <row r="24" spans="1:7">
      <c r="C24" s="379"/>
      <c r="D24" s="92"/>
    </row>
    <row r="25" spans="1:7">
      <c r="C25" s="379"/>
      <c r="D25" s="92"/>
    </row>
    <row r="26" spans="1:7">
      <c r="C26" s="379"/>
      <c r="D26" s="92"/>
    </row>
    <row r="27" spans="1:7">
      <c r="D27" s="92"/>
    </row>
    <row r="28" spans="1:7">
      <c r="D28" s="92"/>
    </row>
    <row r="29" spans="1:7">
      <c r="D29" s="92"/>
    </row>
    <row r="30" spans="1:7">
      <c r="D30" s="92"/>
    </row>
    <row r="31" spans="1:7">
      <c r="D31" s="9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3B160-31A2-45A5-A3DD-2DC3BE956488}">
  <dimension ref="A1:I22"/>
  <sheetViews>
    <sheetView workbookViewId="0">
      <selection activeCell="G18" sqref="G18"/>
    </sheetView>
  </sheetViews>
  <sheetFormatPr baseColWidth="10" defaultRowHeight="10.199999999999999"/>
  <cols>
    <col min="1" max="1" width="11.5546875" style="439"/>
    <col min="2" max="2" width="22" style="439" bestFit="1" customWidth="1"/>
    <col min="3" max="3" width="11.5546875" style="439"/>
    <col min="4" max="4" width="16.6640625" style="439" bestFit="1" customWidth="1"/>
    <col min="5" max="5" width="15.5546875" style="439" bestFit="1" customWidth="1"/>
    <col min="6" max="6" width="16.6640625" style="439" bestFit="1" customWidth="1"/>
    <col min="7" max="7" width="13.5546875" style="439" bestFit="1" customWidth="1"/>
    <col min="8" max="8" width="16.109375" style="439" customWidth="1"/>
    <col min="9" max="16384" width="11.5546875" style="439"/>
  </cols>
  <sheetData>
    <row r="1" spans="1:9" s="1135" customFormat="1">
      <c r="B1" s="1135" t="s">
        <v>3251</v>
      </c>
      <c r="C1" s="1135" t="s">
        <v>1486</v>
      </c>
      <c r="D1" s="1135" t="s">
        <v>4034</v>
      </c>
      <c r="E1" s="1135" t="s">
        <v>4747</v>
      </c>
      <c r="F1" s="1135" t="s">
        <v>473</v>
      </c>
      <c r="G1" s="1135" t="s">
        <v>1346</v>
      </c>
      <c r="H1" s="1135" t="s">
        <v>4748</v>
      </c>
      <c r="I1" s="1135" t="s">
        <v>4749</v>
      </c>
    </row>
    <row r="2" spans="1:9">
      <c r="A2" s="439" t="s">
        <v>4789</v>
      </c>
      <c r="B2" s="439" t="s">
        <v>3776</v>
      </c>
      <c r="C2" s="439" t="s">
        <v>4874</v>
      </c>
      <c r="D2" s="439" t="s">
        <v>4790</v>
      </c>
      <c r="E2" s="439" t="s">
        <v>4873</v>
      </c>
      <c r="F2" s="439" t="s">
        <v>3776</v>
      </c>
      <c r="G2" s="439" t="s">
        <v>3776</v>
      </c>
      <c r="H2" s="439" t="s">
        <v>3776</v>
      </c>
      <c r="I2" s="439" t="s">
        <v>4791</v>
      </c>
    </row>
    <row r="3" spans="1:9">
      <c r="A3" s="439" t="s">
        <v>4793</v>
      </c>
      <c r="B3" s="439" t="s">
        <v>4792</v>
      </c>
      <c r="C3" s="439" t="s">
        <v>4794</v>
      </c>
      <c r="E3" s="439" t="s">
        <v>4792</v>
      </c>
    </row>
    <row r="4" spans="1:9">
      <c r="F4" s="2085" t="s">
        <v>4762</v>
      </c>
      <c r="G4" s="2050" t="s">
        <v>4763</v>
      </c>
      <c r="H4" s="2086" t="s">
        <v>4764</v>
      </c>
    </row>
    <row r="5" spans="1:9">
      <c r="A5" s="439" t="s">
        <v>4751</v>
      </c>
      <c r="B5" s="439" t="s">
        <v>4752</v>
      </c>
      <c r="C5" s="132" t="s">
        <v>4756</v>
      </c>
      <c r="E5" s="2083" t="s">
        <v>4760</v>
      </c>
      <c r="F5" s="132">
        <v>59740410</v>
      </c>
      <c r="G5" s="132">
        <v>58113000</v>
      </c>
      <c r="H5" s="2084">
        <v>97904893</v>
      </c>
    </row>
    <row r="6" spans="1:9">
      <c r="A6" s="439" t="s">
        <v>4769</v>
      </c>
      <c r="C6" s="132"/>
      <c r="E6" s="2083"/>
      <c r="F6" s="132"/>
      <c r="G6" s="132"/>
      <c r="H6" s="2084"/>
    </row>
    <row r="7" spans="1:9">
      <c r="A7" s="439" t="s">
        <v>4769</v>
      </c>
      <c r="C7" s="2084" t="s">
        <v>4768</v>
      </c>
      <c r="E7" s="2083"/>
      <c r="F7" s="132"/>
      <c r="G7" s="132" t="s">
        <v>5068</v>
      </c>
      <c r="H7" s="2084"/>
    </row>
    <row r="8" spans="1:9">
      <c r="A8" s="439" t="s">
        <v>4750</v>
      </c>
      <c r="B8" s="439" t="s">
        <v>4753</v>
      </c>
      <c r="C8" s="439" t="s">
        <v>4757</v>
      </c>
    </row>
    <row r="9" spans="1:9">
      <c r="A9" s="439" t="s">
        <v>4754</v>
      </c>
      <c r="B9" s="439" t="s">
        <v>4755</v>
      </c>
      <c r="C9" s="439" t="s">
        <v>4758</v>
      </c>
      <c r="F9" s="439" t="s">
        <v>4761</v>
      </c>
      <c r="G9" s="439" t="s">
        <v>4761</v>
      </c>
      <c r="H9" s="439" t="s">
        <v>4761</v>
      </c>
    </row>
    <row r="10" spans="1:9">
      <c r="A10" s="439" t="s">
        <v>3693</v>
      </c>
      <c r="B10" s="439">
        <v>36.78</v>
      </c>
      <c r="C10" s="439">
        <v>29.99</v>
      </c>
      <c r="E10" s="439">
        <v>23.99</v>
      </c>
      <c r="F10" s="439">
        <v>9.99</v>
      </c>
      <c r="G10" s="439">
        <v>9.99</v>
      </c>
      <c r="H10" s="439">
        <v>9.99</v>
      </c>
    </row>
    <row r="11" spans="1:9">
      <c r="F11" s="439" t="s">
        <v>4759</v>
      </c>
      <c r="H11" s="439" t="s">
        <v>4766</v>
      </c>
    </row>
    <row r="12" spans="1:9">
      <c r="A12" s="439" t="s">
        <v>4765</v>
      </c>
      <c r="B12" s="439" t="s">
        <v>4796</v>
      </c>
      <c r="C12" s="439" t="s">
        <v>4767</v>
      </c>
    </row>
    <row r="13" spans="1:9">
      <c r="B13" s="439" t="s">
        <v>4797</v>
      </c>
      <c r="C13" s="439" t="s">
        <v>4795</v>
      </c>
    </row>
    <row r="15" spans="1:9">
      <c r="C15" s="439" t="s">
        <v>4800</v>
      </c>
    </row>
    <row r="16" spans="1:9">
      <c r="C16" s="439" t="s">
        <v>4799</v>
      </c>
    </row>
    <row r="22" spans="1:4">
      <c r="A22" s="439" t="s">
        <v>3247</v>
      </c>
      <c r="D22" s="439" t="s">
        <v>5089</v>
      </c>
    </row>
  </sheetData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91A8C-E73A-4717-B986-1A21D390C270}">
  <dimension ref="A1:U42"/>
  <sheetViews>
    <sheetView workbookViewId="0">
      <selection activeCell="C32" sqref="C32"/>
    </sheetView>
  </sheetViews>
  <sheetFormatPr baseColWidth="10" defaultRowHeight="13.2"/>
  <cols>
    <col min="1" max="1" width="44.33203125" customWidth="1"/>
    <col min="2" max="2" width="11.21875" style="379" bestFit="1" customWidth="1"/>
    <col min="3" max="3" width="9.5546875" style="379" bestFit="1" customWidth="1"/>
    <col min="4" max="4" width="9.5546875" style="379" customWidth="1"/>
    <col min="5" max="6" width="26.44140625" style="379" customWidth="1"/>
    <col min="7" max="7" width="12.88671875" style="379" customWidth="1"/>
    <col min="8" max="9" width="11.5546875" style="379"/>
    <col min="10" max="10" width="11.5546875" style="1608"/>
    <col min="11" max="15" width="11.5546875" style="379"/>
    <col min="16" max="16" width="15.88671875" style="379" bestFit="1" customWidth="1"/>
    <col min="17" max="21" width="11.5546875" style="379"/>
  </cols>
  <sheetData>
    <row r="1" spans="1:10">
      <c r="A1" s="3" t="s">
        <v>3255</v>
      </c>
      <c r="B1" s="380" t="s">
        <v>3773</v>
      </c>
      <c r="C1" s="380" t="s">
        <v>3774</v>
      </c>
      <c r="D1" s="380" t="s">
        <v>3859</v>
      </c>
      <c r="E1" s="380" t="s">
        <v>418</v>
      </c>
      <c r="F1" s="380"/>
      <c r="G1" s="380" t="s">
        <v>3860</v>
      </c>
      <c r="H1" s="379" t="s">
        <v>3864</v>
      </c>
      <c r="I1" s="380" t="s">
        <v>3865</v>
      </c>
      <c r="J1" s="1609" t="s">
        <v>3889</v>
      </c>
    </row>
    <row r="2" spans="1:10">
      <c r="A2" t="s">
        <v>3749</v>
      </c>
    </row>
    <row r="3" spans="1:10">
      <c r="A3" t="s">
        <v>3750</v>
      </c>
    </row>
    <row r="4" spans="1:10">
      <c r="A4" s="1567" t="s">
        <v>3752</v>
      </c>
      <c r="B4" s="1561">
        <v>7061.2</v>
      </c>
      <c r="C4" s="1561">
        <v>7061.2</v>
      </c>
      <c r="D4" s="1561"/>
      <c r="E4" s="1561"/>
      <c r="F4" s="1561"/>
      <c r="G4" s="379">
        <v>3233.26</v>
      </c>
      <c r="H4" s="379">
        <v>3233.26</v>
      </c>
      <c r="I4" s="379">
        <v>3233.26</v>
      </c>
      <c r="J4" s="1608">
        <v>3043.67</v>
      </c>
    </row>
    <row r="5" spans="1:10">
      <c r="A5" s="1560" t="s">
        <v>3756</v>
      </c>
      <c r="B5" s="1561">
        <v>6156.05</v>
      </c>
      <c r="C5" s="1561">
        <v>6156.05</v>
      </c>
      <c r="D5" s="1561"/>
      <c r="E5" s="1561"/>
      <c r="F5" s="1561"/>
    </row>
    <row r="6" spans="1:10">
      <c r="A6" s="1560" t="s">
        <v>3751</v>
      </c>
      <c r="B6" s="1562">
        <v>1.0800000000000001E-2</v>
      </c>
      <c r="C6" s="1562">
        <v>1.0800000000000001E-2</v>
      </c>
      <c r="D6" s="1562"/>
      <c r="E6" s="1561"/>
      <c r="F6" s="1561"/>
    </row>
    <row r="7" spans="1:10">
      <c r="A7" s="1568" t="s">
        <v>3755</v>
      </c>
      <c r="B7" s="1561">
        <v>49.04</v>
      </c>
      <c r="C7" s="1561">
        <v>49.04</v>
      </c>
      <c r="D7" s="1561"/>
      <c r="E7" s="1561">
        <v>56.25</v>
      </c>
      <c r="F7" s="1561"/>
    </row>
    <row r="8" spans="1:10">
      <c r="A8" s="1566" t="s">
        <v>3765</v>
      </c>
      <c r="B8" s="1564">
        <v>6528.25</v>
      </c>
      <c r="C8" s="1564">
        <v>6528.25</v>
      </c>
      <c r="D8" s="1564"/>
      <c r="E8" s="1564"/>
      <c r="F8" s="1564"/>
      <c r="G8" s="337">
        <v>3197.76</v>
      </c>
      <c r="J8" s="1608">
        <v>3017.91</v>
      </c>
    </row>
    <row r="9" spans="1:10">
      <c r="A9" s="1563" t="s">
        <v>3756</v>
      </c>
      <c r="B9" s="1564">
        <v>5691.41</v>
      </c>
      <c r="C9" s="1564">
        <v>5691.41</v>
      </c>
      <c r="D9" s="1564"/>
      <c r="E9" s="1564"/>
      <c r="F9" s="1564"/>
    </row>
    <row r="10" spans="1:10">
      <c r="A10" s="1563" t="s">
        <v>3751</v>
      </c>
      <c r="B10" s="1565">
        <v>1.0800000000000001E-2</v>
      </c>
      <c r="C10" s="1565">
        <v>1.0800000000000001E-2</v>
      </c>
      <c r="D10" s="1565"/>
      <c r="E10" s="1564"/>
      <c r="F10" s="1564"/>
    </row>
    <row r="11" spans="1:10">
      <c r="A11" s="1563" t="s">
        <v>3755</v>
      </c>
      <c r="B11" s="1564">
        <v>45.34</v>
      </c>
      <c r="C11" s="1564">
        <v>45.34</v>
      </c>
      <c r="D11" s="1564"/>
      <c r="E11" s="1564">
        <v>56.25</v>
      </c>
      <c r="F11" s="1564"/>
    </row>
    <row r="13" spans="1:10">
      <c r="A13" t="s">
        <v>3754</v>
      </c>
      <c r="B13" s="379">
        <v>0</v>
      </c>
      <c r="C13" s="379">
        <v>0</v>
      </c>
    </row>
    <row r="14" spans="1:10">
      <c r="A14" t="s">
        <v>3763</v>
      </c>
      <c r="B14" s="1557">
        <v>5.1299999999999998E-2</v>
      </c>
      <c r="C14" s="1557">
        <v>5.1299999999999998E-2</v>
      </c>
      <c r="D14" s="1557"/>
    </row>
    <row r="15" spans="1:10">
      <c r="A15" s="371" t="s">
        <v>3769</v>
      </c>
      <c r="B15" s="379">
        <v>6733.55</v>
      </c>
      <c r="C15" s="379">
        <v>6733.55</v>
      </c>
      <c r="E15" s="379">
        <f>56.25*12*12</f>
        <v>8100</v>
      </c>
    </row>
    <row r="16" spans="1:10">
      <c r="A16" s="371" t="s">
        <v>3791</v>
      </c>
      <c r="E16" s="379">
        <v>30.75</v>
      </c>
    </row>
    <row r="17" spans="1:10">
      <c r="A17" s="371" t="s">
        <v>3792</v>
      </c>
      <c r="E17" s="379">
        <v>25.5</v>
      </c>
    </row>
    <row r="18" spans="1:10">
      <c r="A18" s="371" t="s">
        <v>3766</v>
      </c>
      <c r="B18" s="379">
        <v>13589.44</v>
      </c>
      <c r="C18" s="379">
        <v>13589.44</v>
      </c>
      <c r="E18" s="1558">
        <f>56.25*2*144</f>
        <v>16200</v>
      </c>
      <c r="F18" s="1558"/>
    </row>
    <row r="19" spans="1:10">
      <c r="A19" t="s">
        <v>3753</v>
      </c>
      <c r="B19" s="379">
        <v>2550</v>
      </c>
      <c r="C19" s="379">
        <v>2550</v>
      </c>
      <c r="D19" s="379">
        <v>2550</v>
      </c>
      <c r="E19" s="379">
        <v>1290</v>
      </c>
      <c r="G19" s="379">
        <v>1290</v>
      </c>
      <c r="H19" s="379">
        <v>1290</v>
      </c>
      <c r="I19" s="379">
        <v>1290</v>
      </c>
      <c r="J19" s="1608">
        <v>1290</v>
      </c>
    </row>
    <row r="20" spans="1:10">
      <c r="A20" t="s">
        <v>3764</v>
      </c>
      <c r="B20" s="379">
        <v>870</v>
      </c>
      <c r="C20" s="379">
        <v>870</v>
      </c>
      <c r="D20" s="379">
        <v>870</v>
      </c>
      <c r="E20" s="379">
        <v>800</v>
      </c>
      <c r="G20" s="379">
        <v>870</v>
      </c>
      <c r="H20" s="379">
        <v>800</v>
      </c>
      <c r="I20" s="379">
        <v>700</v>
      </c>
      <c r="J20" s="1608">
        <v>700</v>
      </c>
    </row>
    <row r="22" spans="1:10">
      <c r="A22" s="371" t="s">
        <v>3772</v>
      </c>
      <c r="B22" s="92">
        <v>200000</v>
      </c>
      <c r="C22" s="92">
        <v>200000</v>
      </c>
      <c r="D22" s="92">
        <v>200000</v>
      </c>
      <c r="E22" s="92">
        <v>200000</v>
      </c>
      <c r="F22" s="92"/>
      <c r="G22" s="92">
        <v>200000</v>
      </c>
      <c r="H22" s="379">
        <v>200000</v>
      </c>
      <c r="I22" s="379">
        <v>200000</v>
      </c>
      <c r="J22" s="1608">
        <v>200000</v>
      </c>
    </row>
    <row r="23" spans="1:10">
      <c r="A23" s="371" t="s">
        <v>3771</v>
      </c>
      <c r="B23" s="1557">
        <v>4.19E-2</v>
      </c>
      <c r="C23" s="1557">
        <v>3.8899999999999997E-2</v>
      </c>
      <c r="D23" s="1557">
        <v>3.8899999999999997E-2</v>
      </c>
      <c r="E23" s="379">
        <v>4.12</v>
      </c>
      <c r="H23" s="379">
        <v>3.73</v>
      </c>
      <c r="I23" s="379">
        <v>3.61</v>
      </c>
      <c r="J23" s="1608">
        <v>3.61</v>
      </c>
    </row>
    <row r="24" spans="1:10">
      <c r="A24" s="371"/>
      <c r="B24" s="1557"/>
      <c r="C24" s="1557"/>
      <c r="D24" s="1557"/>
      <c r="H24" s="379">
        <v>3.99</v>
      </c>
      <c r="I24" s="379">
        <v>3.89</v>
      </c>
      <c r="J24" s="1608">
        <v>3.89</v>
      </c>
    </row>
    <row r="25" spans="1:10">
      <c r="A25" s="371"/>
      <c r="B25" s="1575">
        <v>1770</v>
      </c>
      <c r="C25" s="1575">
        <v>1740</v>
      </c>
      <c r="D25" s="1575">
        <v>1740</v>
      </c>
    </row>
    <row r="26" spans="1:10">
      <c r="A26" t="s">
        <v>3758</v>
      </c>
      <c r="B26" s="379">
        <f>B28-B37/144</f>
        <v>1824.1592361111111</v>
      </c>
      <c r="C26" s="379">
        <f>C28-C37/144</f>
        <v>1824.1592361111111</v>
      </c>
      <c r="E26" s="379">
        <v>1763</v>
      </c>
      <c r="H26" s="379">
        <v>999.67</v>
      </c>
      <c r="I26" s="379">
        <v>994.02</v>
      </c>
      <c r="J26" s="1608">
        <v>994.02</v>
      </c>
    </row>
    <row r="27" spans="1:10">
      <c r="H27" s="379">
        <v>875</v>
      </c>
      <c r="I27" s="379">
        <v>870.2</v>
      </c>
      <c r="J27" s="1608">
        <v>870.2</v>
      </c>
    </row>
    <row r="28" spans="1:10">
      <c r="A28" t="s">
        <v>3761</v>
      </c>
      <c r="B28" s="379">
        <v>1870.92</v>
      </c>
      <c r="C28" s="379">
        <v>1870.92</v>
      </c>
      <c r="E28" s="379">
        <f>E26+E11</f>
        <v>1819.25</v>
      </c>
      <c r="H28" s="380">
        <f>SUM(H26:H27)</f>
        <v>1874.67</v>
      </c>
      <c r="I28" s="380">
        <f>SUM(I26:I27)</f>
        <v>1864.22</v>
      </c>
      <c r="J28" s="1609">
        <f>SUM(J26:J27)</f>
        <v>1864.22</v>
      </c>
    </row>
    <row r="29" spans="1:10">
      <c r="A29" s="432" t="s">
        <v>3762</v>
      </c>
      <c r="B29" s="1559">
        <f>B26+B7+B11</f>
        <v>1918.539236111111</v>
      </c>
      <c r="C29" s="1559">
        <f>C26+C7+C11</f>
        <v>1918.539236111111</v>
      </c>
      <c r="D29" s="1559"/>
      <c r="E29" s="1559">
        <f>E26+E11+E7</f>
        <v>1875.5</v>
      </c>
      <c r="F29" s="1559"/>
    </row>
    <row r="30" spans="1:10">
      <c r="A30" s="371" t="s">
        <v>3770</v>
      </c>
      <c r="B30" s="379">
        <f>B29*144</f>
        <v>276269.64999999997</v>
      </c>
      <c r="C30" s="379">
        <f>C29*144</f>
        <v>276269.64999999997</v>
      </c>
      <c r="E30" s="379">
        <f>E29*144</f>
        <v>270072</v>
      </c>
    </row>
    <row r="32" spans="1:10">
      <c r="A32" s="371" t="s">
        <v>3767</v>
      </c>
      <c r="B32" s="379">
        <v>55823</v>
      </c>
      <c r="C32" s="379">
        <v>51551</v>
      </c>
      <c r="D32" s="379">
        <v>50617</v>
      </c>
      <c r="E32" s="1590">
        <v>53833.79</v>
      </c>
      <c r="F32" s="1574"/>
      <c r="G32" s="379">
        <f>D32</f>
        <v>50617</v>
      </c>
      <c r="H32" s="379">
        <f>26006+19960</f>
        <v>45966</v>
      </c>
      <c r="I32" s="379">
        <f>19282.42+25308.26</f>
        <v>44590.679999999993</v>
      </c>
      <c r="J32" s="1608">
        <f>19282.42+25308.26</f>
        <v>44590.679999999993</v>
      </c>
    </row>
    <row r="33" spans="1:10">
      <c r="A33" s="371" t="s">
        <v>3793</v>
      </c>
      <c r="E33" s="1590">
        <f>E34-E32</f>
        <v>8100</v>
      </c>
      <c r="F33" s="1574"/>
      <c r="I33" s="379">
        <f>I32+I20+I19+I4</f>
        <v>49813.939999999995</v>
      </c>
      <c r="J33" s="1608">
        <f>J32+J20+J19+J4</f>
        <v>49624.349999999991</v>
      </c>
    </row>
    <row r="34" spans="1:10">
      <c r="A34" s="371" t="s">
        <v>3794</v>
      </c>
      <c r="B34" s="379">
        <f>B15+B19+B20+B32</f>
        <v>65976.55</v>
      </c>
      <c r="C34" s="379">
        <f>C15+C19+C20+C32</f>
        <v>61704.55</v>
      </c>
      <c r="E34" s="379">
        <f>E32+E11*144</f>
        <v>61933.79</v>
      </c>
      <c r="I34" s="380">
        <f>I26*120+I27*144+I20+I19+I4</f>
        <v>249814.46000000002</v>
      </c>
      <c r="J34" s="1609">
        <f>J26*120+J27*144+J20+J19+J4</f>
        <v>249624.87000000002</v>
      </c>
    </row>
    <row r="35" spans="1:10">
      <c r="A35" s="1479" t="s">
        <v>3795</v>
      </c>
      <c r="B35" s="1569">
        <f>B32+B18+B19+B20</f>
        <v>72832.44</v>
      </c>
      <c r="C35" s="1569">
        <f>C32+C18+C19+C20</f>
        <v>68560.44</v>
      </c>
      <c r="D35" s="1569"/>
      <c r="E35" s="1569">
        <f>E32+E11*2*144</f>
        <v>70033.790000000008</v>
      </c>
      <c r="F35" s="1569"/>
      <c r="G35" s="1611">
        <f>G32+G19+G20+G4</f>
        <v>56010.26</v>
      </c>
      <c r="H35" s="379">
        <f>H32+H4+H19+H20</f>
        <v>51289.26</v>
      </c>
      <c r="I35" s="381" t="s">
        <v>3418</v>
      </c>
      <c r="J35" s="1610" t="s">
        <v>3418</v>
      </c>
    </row>
    <row r="37" spans="1:10">
      <c r="A37" s="1570" t="s">
        <v>3760</v>
      </c>
      <c r="B37" s="1571">
        <v>6733.55</v>
      </c>
      <c r="C37" s="1571">
        <v>6733.55</v>
      </c>
      <c r="D37" s="1571"/>
      <c r="E37" s="1571"/>
      <c r="F37" s="1571"/>
    </row>
    <row r="38" spans="1:10">
      <c r="A38" s="1572" t="s">
        <v>3768</v>
      </c>
      <c r="B38" s="1571"/>
      <c r="C38" s="1571"/>
      <c r="D38" s="1571"/>
      <c r="E38" s="1571">
        <f>56.25*144</f>
        <v>8100</v>
      </c>
      <c r="F38" s="1571"/>
    </row>
    <row r="39" spans="1:10">
      <c r="A39" s="1570" t="s">
        <v>3759</v>
      </c>
      <c r="B39" s="1573"/>
      <c r="C39" s="1573"/>
      <c r="D39" s="1573"/>
      <c r="E39" s="1571">
        <f>56.25*144</f>
        <v>8100</v>
      </c>
      <c r="F39" s="1571"/>
    </row>
    <row r="40" spans="1:10">
      <c r="A40" s="476" t="s">
        <v>3757</v>
      </c>
      <c r="B40" s="1532"/>
      <c r="C40" s="1532"/>
      <c r="D40" s="1532"/>
    </row>
    <row r="41" spans="1:10">
      <c r="A41" s="476" t="s">
        <v>3711</v>
      </c>
      <c r="B41" s="1532"/>
      <c r="C41" s="1532"/>
      <c r="D41" s="1532"/>
    </row>
    <row r="42" spans="1:10">
      <c r="A42" s="476"/>
      <c r="B42" s="1125"/>
      <c r="C42" s="1125"/>
      <c r="D42" s="1125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EB00F-748B-40B9-B529-03C4B24182C8}">
  <dimension ref="A1"/>
  <sheetViews>
    <sheetView workbookViewId="0"/>
  </sheetViews>
  <sheetFormatPr baseColWidth="10" defaultRowHeight="13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36</vt:i4>
      </vt:variant>
      <vt:variant>
        <vt:lpstr>Plages nommées</vt:lpstr>
      </vt:variant>
      <vt:variant>
        <vt:i4>3</vt:i4>
      </vt:variant>
    </vt:vector>
  </HeadingPairs>
  <TitlesOfParts>
    <vt:vector size="39" baseType="lpstr">
      <vt:lpstr>Dashboard</vt:lpstr>
      <vt:lpstr>Cleder </vt:lpstr>
      <vt:lpstr>Plouescat </vt:lpstr>
      <vt:lpstr>Roscoff </vt:lpstr>
      <vt:lpstr>Roscoff - Financement</vt:lpstr>
      <vt:lpstr>2026 - Projet</vt:lpstr>
      <vt:lpstr>Free - Bouygues</vt:lpstr>
      <vt:lpstr>Feuil18</vt:lpstr>
      <vt:lpstr>Feuil5</vt:lpstr>
      <vt:lpstr>Impots</vt:lpstr>
      <vt:lpstr>Roscoff</vt:lpstr>
      <vt:lpstr>cole</vt:lpstr>
      <vt:lpstr>Mailing 22122018</vt:lpstr>
      <vt:lpstr>Feuil4</vt:lpstr>
      <vt:lpstr>Interconnector</vt:lpstr>
      <vt:lpstr>Feuil17</vt:lpstr>
      <vt:lpstr>Feuil16</vt:lpstr>
      <vt:lpstr>Feuil13</vt:lpstr>
      <vt:lpstr>Feuil15</vt:lpstr>
      <vt:lpstr>Feuil14</vt:lpstr>
      <vt:lpstr>Feuil7</vt:lpstr>
      <vt:lpstr>Feuil8</vt:lpstr>
      <vt:lpstr>Feuil9</vt:lpstr>
      <vt:lpstr>Feuil2</vt:lpstr>
      <vt:lpstr>Voeux 2020 prospects</vt:lpstr>
      <vt:lpstr>Voeux 2020 clients</vt:lpstr>
      <vt:lpstr>Voeux all email</vt:lpstr>
      <vt:lpstr>all</vt:lpstr>
      <vt:lpstr>demandes 2017-8-9</vt:lpstr>
      <vt:lpstr>Feuil12</vt:lpstr>
      <vt:lpstr>Feuil3</vt:lpstr>
      <vt:lpstr>Prospects</vt:lpstr>
      <vt:lpstr>Feuil1</vt:lpstr>
      <vt:lpstr>Feuil6</vt:lpstr>
      <vt:lpstr>Feuil11</vt:lpstr>
      <vt:lpstr>Feuil10</vt:lpstr>
      <vt:lpstr>'Cleder '!Zone_d_impression</vt:lpstr>
      <vt:lpstr>Feuil16!Zone_d_impression</vt:lpstr>
      <vt:lpstr>Feuil2!Zone_d_impression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xavier cadiou</dc:creator>
  <cp:lastModifiedBy>Xavier Cadiou</cp:lastModifiedBy>
  <cp:lastPrinted>2026-04-25T14:37:47Z</cp:lastPrinted>
  <dcterms:created xsi:type="dcterms:W3CDTF">2003-09-24T14:31:52Z</dcterms:created>
  <dcterms:modified xsi:type="dcterms:W3CDTF">2026-07-20T16:01:15Z</dcterms:modified>
</cp:coreProperties>
</file>